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8_{29489C1C-BB8C-44F7-BF55-15A0A729DC26}"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l="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L11" i="9" l="1"/>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E4" i="8"/>
  <c r="CF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S5" i="2"/>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F24" i="12"/>
  <c r="I25" i="12"/>
  <c r="M25" i="12"/>
  <c r="M26" i="12"/>
  <c r="K27" i="12"/>
  <c r="K28" i="12"/>
  <c r="K24" i="12" s="1"/>
  <c r="C34" i="12"/>
  <c r="I35" i="12"/>
  <c r="I36" i="12"/>
  <c r="M37" i="12"/>
  <c r="K38" i="12"/>
  <c r="K39" i="12"/>
  <c r="K36" i="12" s="1"/>
  <c r="J36" i="12" s="1"/>
  <c r="N36" i="12" s="1"/>
  <c r="N39"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5" i="12"/>
  <c r="C1270" i="1"/>
  <c r="B1270" i="11"/>
  <c r="C1270" i="2"/>
  <c r="A1270" i="10"/>
  <c r="B1270" i="7"/>
  <c r="A1270" i="5"/>
  <c r="B1270" i="8"/>
  <c r="P5" i="2"/>
  <c r="K23" i="12" l="1"/>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F4" i="8" s="1"/>
  <c r="AU4" i="8" s="1"/>
  <c r="L4" i="11"/>
  <c r="F7" i="8"/>
  <c r="CE27" i="8"/>
  <c r="O6" i="2"/>
  <c r="CE12" i="8"/>
  <c r="CE15" i="8"/>
  <c r="CE5" i="8"/>
  <c r="CE21" i="8"/>
  <c r="CE17" i="8"/>
  <c r="CE8" i="8"/>
  <c r="CE32" i="8"/>
  <c r="CE60" i="8"/>
  <c r="CE18" i="8"/>
  <c r="CE45" i="8"/>
  <c r="CE14" i="8"/>
  <c r="CE30" i="8"/>
  <c r="CE16" i="8"/>
  <c r="CE26" i="8"/>
  <c r="CE13" i="8"/>
  <c r="CE46" i="8"/>
  <c r="CE24" i="8"/>
  <c r="CE19" i="8"/>
  <c r="CE37" i="8"/>
  <c r="CE7" i="8"/>
  <c r="CE9" i="8"/>
  <c r="CE35" i="8"/>
  <c r="CE20" i="8"/>
  <c r="CE23" i="8"/>
  <c r="CE25" i="8"/>
  <c r="CE28" i="8"/>
  <c r="CE6" i="8"/>
  <c r="CE31" i="8"/>
  <c r="CE33" i="8"/>
  <c r="CE55" i="8"/>
  <c r="CE52" i="8"/>
  <c r="CE53" i="8"/>
  <c r="CE67" i="8"/>
  <c r="CE64" i="8"/>
  <c r="CE50" i="8"/>
  <c r="CE44" i="8"/>
  <c r="CE38" i="8"/>
  <c r="CE39" i="8"/>
  <c r="CE48" i="8"/>
  <c r="CE34" i="8"/>
  <c r="CE49" i="8"/>
  <c r="CE36" i="8"/>
  <c r="CE29" i="8"/>
  <c r="CE22" i="8"/>
  <c r="CE10" i="8"/>
  <c r="CE11" i="8"/>
  <c r="CE68" i="8"/>
  <c r="CE61" i="8"/>
  <c r="CE54" i="8"/>
  <c r="CE47" i="8"/>
  <c r="CE40" i="8"/>
  <c r="CE41" i="8"/>
  <c r="CE42" i="8"/>
  <c r="CE43" i="8"/>
  <c r="CE62" i="8"/>
  <c r="CE51" i="8"/>
  <c r="CE70" i="8"/>
  <c r="CE63" i="8"/>
  <c r="CE56" i="8"/>
  <c r="CE57" i="8"/>
  <c r="CE58" i="8"/>
  <c r="CE59" i="8"/>
  <c r="K7" i="8"/>
  <c r="R7" i="2" s="1"/>
  <c r="E7" i="8"/>
  <c r="AG12" i="9"/>
  <c r="AF12" i="9"/>
  <c r="AJ12" i="9"/>
  <c r="AD12" i="9"/>
  <c r="C1270" i="9"/>
  <c r="R6" i="2"/>
  <c r="Q5" i="2"/>
  <c r="P6" i="2"/>
  <c r="O5" i="2"/>
  <c r="N6" i="2"/>
  <c r="M5" i="2"/>
  <c r="H4" i="2"/>
  <c r="M6" i="2"/>
  <c r="B51" i="4"/>
  <c r="D5" i="12"/>
  <c r="F4" i="12"/>
  <c r="E4" i="12" s="1"/>
  <c r="O7" i="2"/>
  <c r="K22" i="12"/>
  <c r="K25" i="12"/>
  <c r="K33" i="12"/>
  <c r="J4" i="12"/>
  <c r="D67" i="4"/>
  <c r="A35" i="6"/>
  <c r="I36" i="4"/>
  <c r="I37" i="4"/>
  <c r="A36" i="6"/>
  <c r="I8" i="12"/>
  <c r="J7" i="12"/>
  <c r="F1" i="14"/>
  <c r="CR5" i="5" l="1"/>
  <c r="H5" i="5" s="1"/>
  <c r="CS5" i="5"/>
  <c r="I5" i="5" s="1"/>
  <c r="AL13" i="9"/>
  <c r="CT5" i="5"/>
  <c r="J5" i="5" s="1"/>
  <c r="CU5" i="5"/>
  <c r="K5" i="5" s="1"/>
  <c r="CW5" i="5"/>
  <c r="M5" i="5" s="1"/>
  <c r="J7" i="10"/>
  <c r="N7" i="5" s="1"/>
  <c r="BK5" i="5" a="1"/>
  <c r="BK5" i="5" s="1"/>
  <c r="BN5" i="5" a="1"/>
  <c r="BN5" i="5" s="1"/>
  <c r="BJ5" i="5" a="1"/>
  <c r="BJ5" i="5" s="1"/>
  <c r="BM5" i="5" a="1"/>
  <c r="BM5" i="5" s="1"/>
  <c r="BH5" i="5" a="1"/>
  <c r="BH5" i="5" s="1"/>
  <c r="BH6" i="5" s="1" a="1"/>
  <c r="BH6" i="5" s="1"/>
  <c r="BG5" i="5" a="1"/>
  <c r="BG5" i="5" s="1"/>
  <c r="BF5" i="5" a="1"/>
  <c r="BF5" i="5" s="1"/>
  <c r="AY5" i="5" a="1"/>
  <c r="AY5" i="5" s="1"/>
  <c r="BI5" i="5" a="1"/>
  <c r="BI5" i="5" s="1"/>
  <c r="BI6" i="5" s="1" a="1"/>
  <c r="BI6" i="5" s="1"/>
  <c r="BI7" i="5" s="1" a="1"/>
  <c r="BI7"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CE76" i="8"/>
  <c r="CE71" i="8"/>
  <c r="CE72" i="8"/>
  <c r="CE69" i="8"/>
  <c r="CE66" i="8"/>
  <c r="CE73" i="8"/>
  <c r="CE65" i="8"/>
  <c r="CE74" i="8"/>
  <c r="CE75" i="8"/>
  <c r="CE77" i="8"/>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O8" i="2"/>
  <c r="D6" i="12"/>
  <c r="F5" i="12"/>
  <c r="E5" i="12" s="1"/>
  <c r="DE4" i="5"/>
  <c r="A37" i="6"/>
  <c r="I38" i="4"/>
  <c r="CL18" i="8"/>
  <c r="CL19" i="8"/>
  <c r="J8" i="12"/>
  <c r="I9" i="12"/>
  <c r="BD6" i="5" l="1" a="1"/>
  <c r="BD6" i="5" s="1"/>
  <c r="BD7" i="5" s="1" a="1"/>
  <c r="BD7" i="5" s="1"/>
  <c r="BF6" i="5" a="1"/>
  <c r="BF6" i="5" s="1"/>
  <c r="BF7" i="5" s="1" a="1"/>
  <c r="BF7"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H7" i="5" a="1"/>
  <c r="BH7" i="5" s="1"/>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CE78" i="8"/>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O9" i="2"/>
  <c r="J9" i="10"/>
  <c r="N9" i="5" s="1"/>
  <c r="M8" i="2"/>
  <c r="F6" i="12"/>
  <c r="E6" i="12" s="1"/>
  <c r="D7" i="12"/>
  <c r="DB5" i="5"/>
  <c r="DE5" i="5"/>
  <c r="DF5" i="5"/>
  <c r="DC5" i="5"/>
  <c r="A38" i="6"/>
  <c r="CL20" i="8"/>
  <c r="CL21" i="8"/>
  <c r="I39" i="4"/>
  <c r="I10" i="12"/>
  <c r="J9" i="12"/>
  <c r="BQ8" i="5" l="1" a="1"/>
  <c r="BQ8" i="5" s="1"/>
  <c r="BJ8" i="5" a="1"/>
  <c r="BJ8" i="5" s="1"/>
  <c r="BJ9" i="5" s="1" a="1"/>
  <c r="BJ9"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E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BM9" i="5" l="1"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CE80" i="8"/>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O11" i="2"/>
  <c r="M10" i="2"/>
  <c r="M4" i="1"/>
  <c r="F4" i="11" s="1"/>
  <c r="I12" i="12"/>
  <c r="J11" i="12"/>
  <c r="BB10" i="5" l="1"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CE81" i="8"/>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AE7" i="1"/>
  <c r="W7" i="1" s="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O12" i="2"/>
  <c r="I13" i="12"/>
  <c r="J12" i="12"/>
  <c r="BN11" i="5" l="1"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CE82"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O13" i="2"/>
  <c r="D11" i="12"/>
  <c r="F10" i="12"/>
  <c r="E10" i="12" s="1"/>
  <c r="J13" i="10"/>
  <c r="N13" i="5" s="1"/>
  <c r="I14" i="12"/>
  <c r="J13" i="12"/>
  <c r="AD10" i="1" l="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CE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O14" i="2"/>
  <c r="M13" i="2"/>
  <c r="J14" i="10"/>
  <c r="N14" i="5" s="1"/>
  <c r="I15" i="12"/>
  <c r="J14" i="12"/>
  <c r="BK13" i="5" l="1"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CE84" i="8"/>
  <c r="AH12" i="11"/>
  <c r="AM12" i="1"/>
  <c r="DF11" i="5"/>
  <c r="DB11" i="5"/>
  <c r="DE11" i="5"/>
  <c r="DH11" i="5"/>
  <c r="AE13" i="8"/>
  <c r="AT13" i="8"/>
  <c r="AF10" i="1"/>
  <c r="AE10" i="1"/>
  <c r="W10" i="1" s="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O15" i="2"/>
  <c r="J15" i="10"/>
  <c r="N15" i="5" s="1"/>
  <c r="D13" i="12"/>
  <c r="F12" i="12"/>
  <c r="E12" i="12" s="1"/>
  <c r="J15" i="12"/>
  <c r="I16" i="12"/>
  <c r="BK14" i="5" l="1" a="1"/>
  <c r="BK14" i="5" s="1"/>
  <c r="BF14" i="5" a="1"/>
  <c r="BF14" i="5"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CE85" i="8"/>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E14" i="8"/>
  <c r="AT14" i="8"/>
  <c r="AE11" i="1"/>
  <c r="W11" i="1" s="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O16" i="2"/>
  <c r="F13" i="12"/>
  <c r="E13" i="12" s="1"/>
  <c r="D14" i="12"/>
  <c r="J16" i="10"/>
  <c r="N16" i="5" s="1"/>
  <c r="M15" i="2"/>
  <c r="J16" i="12"/>
  <c r="I17" i="12"/>
  <c r="J17" i="12" s="1"/>
  <c r="BI15" i="5" l="1"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E86"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AE12" i="1"/>
  <c r="W12" i="1" s="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BI16" i="5" l="1"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CE87"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L24" i="9" l="1"/>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CE88" i="8"/>
  <c r="AH16" i="11"/>
  <c r="DF15" i="5"/>
  <c r="DE15" i="5"/>
  <c r="AK16" i="11"/>
  <c r="K18" i="11"/>
  <c r="A18" i="14"/>
  <c r="CA18" i="14" s="1"/>
  <c r="A18" i="8"/>
  <c r="A18" i="7"/>
  <c r="R18" i="7" s="1"/>
  <c r="A18" i="9"/>
  <c r="A18" i="2"/>
  <c r="A18" i="5"/>
  <c r="AJ16" i="1"/>
  <c r="Y14" i="1"/>
  <c r="DJ15" i="5"/>
  <c r="AE14" i="1"/>
  <c r="W14" i="1" s="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BK18" i="5" l="1"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CE89"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AE15" i="1"/>
  <c r="W15" i="1" s="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O20" i="2"/>
  <c r="BO19" i="5" l="1"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CE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B20" i="5" l="1"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CE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AE17" i="1"/>
  <c r="W17" i="1" s="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L28" i="9" l="1"/>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CE92"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BN22" i="5" l="1"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CE93" i="8"/>
  <c r="DF20" i="5"/>
  <c r="DE20" i="5"/>
  <c r="AK21" i="11"/>
  <c r="AJ21" i="1"/>
  <c r="DB20" i="5"/>
  <c r="AF19" i="1"/>
  <c r="Y19" i="1"/>
  <c r="DJ20" i="5"/>
  <c r="AE19" i="1"/>
  <c r="W19" i="1" s="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O24" i="2"/>
  <c r="J24" i="10"/>
  <c r="N24" i="5" s="1"/>
  <c r="AD21" i="1" l="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CE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O25" i="2"/>
  <c r="P25" i="2"/>
  <c r="M24" i="2"/>
  <c r="AD22" i="1" l="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E95" i="8"/>
  <c r="CD18" i="8"/>
  <c r="CU18" i="8" s="1"/>
  <c r="CV18" i="8" s="1"/>
  <c r="AK23" i="11"/>
  <c r="DB22" i="5"/>
  <c r="AM23" i="1"/>
  <c r="DE22" i="5"/>
  <c r="K25" i="11"/>
  <c r="A25" i="14"/>
  <c r="CA25" i="14" s="1"/>
  <c r="A25" i="8"/>
  <c r="A25" i="2"/>
  <c r="A25" i="7"/>
  <c r="R25" i="7" s="1"/>
  <c r="A25" i="5"/>
  <c r="A25" i="9"/>
  <c r="DH22" i="5"/>
  <c r="AE21" i="1"/>
  <c r="W21" i="1" s="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O26" i="2"/>
  <c r="M25" i="2"/>
  <c r="J26" i="10"/>
  <c r="N26" i="5" s="1"/>
  <c r="BK25" i="5" l="1"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CE96" i="8"/>
  <c r="AM24" i="1"/>
  <c r="AK24" i="11"/>
  <c r="DF23" i="5"/>
  <c r="DB23" i="5"/>
  <c r="DE23" i="5"/>
  <c r="K26" i="11"/>
  <c r="A26" i="14"/>
  <c r="CA26" i="14" s="1"/>
  <c r="A26" i="9"/>
  <c r="A26" i="2"/>
  <c r="A26" i="7"/>
  <c r="R26" i="7" s="1"/>
  <c r="A26" i="8"/>
  <c r="A26" i="5"/>
  <c r="DH23" i="5"/>
  <c r="Y22" i="1"/>
  <c r="DJ23" i="5"/>
  <c r="AF22" i="1"/>
  <c r="AE22" i="1"/>
  <c r="W22" i="1" s="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O27" i="2"/>
  <c r="J27" i="10"/>
  <c r="N27" i="5" s="1"/>
  <c r="P27" i="2"/>
  <c r="BK26" i="5" l="1" a="1"/>
  <c r="BK26" i="5" s="1"/>
  <c r="AL33" i="9"/>
  <c r="BQ21" i="8"/>
  <c r="BR21" i="8"/>
  <c r="AD24" i="1"/>
  <c r="BQ26" i="5" a="1"/>
  <c r="BQ26" i="5" s="1"/>
  <c r="AZ26" i="5" a="1"/>
  <c r="AZ26" i="5" s="1"/>
  <c r="BE26" i="5" a="1"/>
  <c r="BE26" i="5" s="1"/>
  <c r="BF26" i="5" a="1"/>
  <c r="BF26" i="5"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CE97" i="8"/>
  <c r="DB24" i="5"/>
  <c r="D22" i="9"/>
  <c r="DF24" i="5"/>
  <c r="AM25" i="1"/>
  <c r="AJ25" i="1"/>
  <c r="DD24" i="5"/>
  <c r="DE24" i="5"/>
  <c r="AE23" i="1"/>
  <c r="W23" i="1" s="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BB27" i="5" l="1"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CE98" i="8"/>
  <c r="DF25" i="5"/>
  <c r="CC21" i="8"/>
  <c r="P21" i="8" s="1"/>
  <c r="DB25" i="5"/>
  <c r="Y24" i="1"/>
  <c r="DJ25" i="5"/>
  <c r="AF24" i="1"/>
  <c r="AT27" i="8"/>
  <c r="AE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AD26" i="1" l="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E99" i="8"/>
  <c r="CU21" i="8"/>
  <c r="CV21" i="8" s="1"/>
  <c r="DF26" i="5"/>
  <c r="AM27" i="1"/>
  <c r="DB26" i="5"/>
  <c r="DE26" i="5"/>
  <c r="AK27" i="11"/>
  <c r="AF25" i="1"/>
  <c r="K29" i="11"/>
  <c r="A29" i="14"/>
  <c r="CA29" i="14" s="1"/>
  <c r="A29" i="9"/>
  <c r="A29" i="7"/>
  <c r="R29" i="7" s="1"/>
  <c r="A29" i="2"/>
  <c r="A29" i="5"/>
  <c r="A29" i="8"/>
  <c r="AJ27" i="1"/>
  <c r="AT28" i="8"/>
  <c r="AE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O30" i="2"/>
  <c r="J30" i="10"/>
  <c r="N30" i="5" s="1"/>
  <c r="M29" i="2"/>
  <c r="P30" i="2"/>
  <c r="BN29" i="5" l="1" a="1"/>
  <c r="BN29" i="5" s="1"/>
  <c r="AD27" i="1"/>
  <c r="BH29" i="5" a="1"/>
  <c r="BH29" i="5" s="1"/>
  <c r="AL36" i="9"/>
  <c r="BQ24" i="8"/>
  <c r="BR24" i="8"/>
  <c r="BO29" i="5"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CE100" i="8"/>
  <c r="DE27" i="5"/>
  <c r="DB27" i="5"/>
  <c r="DF27" i="5"/>
  <c r="AJ28" i="1"/>
  <c r="AE29" i="8"/>
  <c r="AT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O31" i="2"/>
  <c r="P31" i="2"/>
  <c r="AD28" i="1" l="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CE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L38" i="9" l="1"/>
  <c r="BQ26" i="8"/>
  <c r="BR26" i="8"/>
  <c r="AD29" i="1"/>
  <c r="BC31" i="5" a="1"/>
  <c r="BC31" i="5" s="1"/>
  <c r="BF31" i="5" a="1"/>
  <c r="BF31" i="5"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E102" i="8"/>
  <c r="CC25" i="8"/>
  <c r="P25" i="8" s="1"/>
  <c r="AK30" i="11"/>
  <c r="DF29" i="5"/>
  <c r="DE29" i="5"/>
  <c r="AJ30" i="1"/>
  <c r="DB29" i="5"/>
  <c r="AF28" i="1"/>
  <c r="K32" i="11"/>
  <c r="A32" i="14"/>
  <c r="CA32" i="14" s="1"/>
  <c r="A32" i="8"/>
  <c r="A32" i="2"/>
  <c r="A32" i="5"/>
  <c r="A32" i="7"/>
  <c r="R32" i="7" s="1"/>
  <c r="A32" i="9"/>
  <c r="AE31" i="8"/>
  <c r="AT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BM32" i="5" l="1"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E103" i="8"/>
  <c r="CU25" i="8"/>
  <c r="CV25" i="8" s="1"/>
  <c r="DE30" i="5"/>
  <c r="DF30" i="5"/>
  <c r="DB30" i="5"/>
  <c r="AJ31" i="1"/>
  <c r="DH30" i="5"/>
  <c r="AF29" i="1"/>
  <c r="AM31" i="1"/>
  <c r="AE29" i="1"/>
  <c r="W29" i="1" s="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BB33" i="5" l="1" a="1"/>
  <c r="BB33" i="5" s="1"/>
  <c r="BF33" i="5" a="1"/>
  <c r="BF33" i="5"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CE104"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AE30" i="1"/>
  <c r="W30" i="1" s="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AD32" i="1" l="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CE105" i="8"/>
  <c r="AK33" i="11"/>
  <c r="AM33" i="1"/>
  <c r="DF32" i="5"/>
  <c r="DE32" i="5"/>
  <c r="AF31" i="1"/>
  <c r="AT34" i="8"/>
  <c r="AE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L42" i="9" l="1"/>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CE106" i="8"/>
  <c r="AK34" i="11"/>
  <c r="AQ29" i="5"/>
  <c r="DE33" i="5"/>
  <c r="AJ34" i="1"/>
  <c r="DB33" i="5"/>
  <c r="AT35" i="8"/>
  <c r="AE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O37" i="2"/>
  <c r="J37" i="10"/>
  <c r="N37" i="5" s="1"/>
  <c r="P37" i="2"/>
  <c r="AL43" i="9" l="1"/>
  <c r="BQ31" i="8"/>
  <c r="BR31" i="8"/>
  <c r="AD34" i="1"/>
  <c r="CT36" i="5"/>
  <c r="CR36" i="5"/>
  <c r="CW36" i="5"/>
  <c r="CV36" i="5"/>
  <c r="CS36" i="5"/>
  <c r="CU36" i="5"/>
  <c r="CQ36" i="5"/>
  <c r="BL36" i="5" a="1"/>
  <c r="BL36" i="5" s="1"/>
  <c r="AY36" i="5" a="1"/>
  <c r="AY36" i="5" s="1"/>
  <c r="BQ36" i="5" a="1"/>
  <c r="BQ36" i="5" s="1"/>
  <c r="BO36" i="5" a="1"/>
  <c r="BO36" i="5" s="1"/>
  <c r="BF36" i="5" a="1"/>
  <c r="BF36" i="5"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CE107" i="8"/>
  <c r="AH35" i="11"/>
  <c r="AK35" i="11"/>
  <c r="DB34" i="5"/>
  <c r="DF34" i="5"/>
  <c r="AT36" i="8"/>
  <c r="AE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K37" i="5" l="1" a="1"/>
  <c r="BK37" i="5" s="1"/>
  <c r="BM37" i="5" a="1"/>
  <c r="BM37" i="5" s="1"/>
  <c r="BN37" i="5" a="1"/>
  <c r="BN37" i="5" s="1"/>
  <c r="AL44" i="9"/>
  <c r="BQ32" i="8"/>
  <c r="BR32" i="8"/>
  <c r="BA37" i="5" a="1"/>
  <c r="BA37" i="5" s="1"/>
  <c r="BF37" i="5" a="1"/>
  <c r="BF37" i="5"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CE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BN38" i="5" l="1"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CE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O40" i="2"/>
  <c r="M39" i="2"/>
  <c r="AD37" i="1" l="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CE110" i="8"/>
  <c r="DF37" i="5"/>
  <c r="AH38" i="11"/>
  <c r="DB37" i="5"/>
  <c r="DE37" i="5"/>
  <c r="K40" i="11"/>
  <c r="A40" i="14"/>
  <c r="CA40" i="14" s="1"/>
  <c r="A40" i="8"/>
  <c r="A40" i="2"/>
  <c r="A40" i="7"/>
  <c r="R40" i="7" s="1"/>
  <c r="A40" i="5"/>
  <c r="A40" i="9"/>
  <c r="AE36" i="1"/>
  <c r="W36" i="1" s="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BF40" i="5" l="1" a="1"/>
  <c r="BF40" i="5"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CE111"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T40" i="5" l="1"/>
  <c r="BF41" i="5" a="1"/>
  <c r="BF41" i="5"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E112"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O43" i="2"/>
  <c r="J43" i="10"/>
  <c r="N43" i="5" s="1"/>
  <c r="P43" i="2"/>
  <c r="M42" i="2"/>
  <c r="AZ42" i="5" l="1"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E113" i="8"/>
  <c r="CU35" i="8"/>
  <c r="CV35" i="8" s="1"/>
  <c r="DE40" i="5"/>
  <c r="DB40" i="5"/>
  <c r="AJ41" i="1"/>
  <c r="DF40" i="5"/>
  <c r="K43" i="11"/>
  <c r="A43" i="14"/>
  <c r="CA43" i="14" s="1"/>
  <c r="A43" i="7"/>
  <c r="R43" i="7" s="1"/>
  <c r="A43" i="8"/>
  <c r="A43" i="2"/>
  <c r="A43" i="5"/>
  <c r="A43" i="9"/>
  <c r="AF39" i="1"/>
  <c r="Y39" i="1"/>
  <c r="DJ40" i="5"/>
  <c r="AT42" i="8"/>
  <c r="AE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L50" i="9" l="1"/>
  <c r="BQ38" i="8"/>
  <c r="BR38" i="8"/>
  <c r="AD41" i="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CE114"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O45" i="2"/>
  <c r="J45" i="10"/>
  <c r="N45" i="5" s="1"/>
  <c r="P45" i="2"/>
  <c r="M44" i="2"/>
  <c r="AL51" i="9" l="1"/>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CE115"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BQ45" i="5" l="1"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CE116" i="8"/>
  <c r="AK44" i="11"/>
  <c r="DE43" i="5"/>
  <c r="AH44" i="11"/>
  <c r="AM44" i="1"/>
  <c r="DB43" i="5"/>
  <c r="DF43" i="5"/>
  <c r="AE45" i="8"/>
  <c r="AT45" i="8"/>
  <c r="DH43" i="5"/>
  <c r="AE42" i="1"/>
  <c r="W42" i="1" s="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O47" i="2"/>
  <c r="P47" i="2"/>
  <c r="BQ46" i="5" l="1"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CE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AE43" i="1"/>
  <c r="W43" i="1" s="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BG47" i="5" l="1" a="1"/>
  <c r="BG47" i="5" s="1"/>
  <c r="BH47" i="5" a="1"/>
  <c r="BH47" i="5" s="1"/>
  <c r="BN47" i="5" a="1"/>
  <c r="BN47" i="5" s="1"/>
  <c r="BC47" i="5" a="1"/>
  <c r="BC47" i="5" s="1"/>
  <c r="AL54" i="9"/>
  <c r="BQ42" i="8"/>
  <c r="BR42" i="8"/>
  <c r="AD45" i="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CE118" i="8"/>
  <c r="AK46" i="11"/>
  <c r="DB45" i="5"/>
  <c r="AH46" i="11"/>
  <c r="AM46" i="1"/>
  <c r="DF45" i="5"/>
  <c r="K48" i="11"/>
  <c r="A48" i="14"/>
  <c r="CA48" i="14" s="1"/>
  <c r="A48" i="8"/>
  <c r="A48" i="2"/>
  <c r="A48" i="9"/>
  <c r="A48" i="7"/>
  <c r="R48" i="7" s="1"/>
  <c r="A48" i="5"/>
  <c r="DH45" i="5"/>
  <c r="AE44" i="1"/>
  <c r="W44" i="1" s="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O49" i="2"/>
  <c r="M48" i="2"/>
  <c r="P49" i="2"/>
  <c r="J49" i="10"/>
  <c r="N49" i="5" s="1"/>
  <c r="AD46" i="1" l="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CE119"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O50" i="2"/>
  <c r="P50" i="2"/>
  <c r="AZ49" i="5" l="1"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E120" i="8"/>
  <c r="CH44" i="8"/>
  <c r="CX44" i="8" s="1"/>
  <c r="AH48" i="11"/>
  <c r="DE47" i="5"/>
  <c r="AJ48" i="1"/>
  <c r="DB47" i="5"/>
  <c r="AM48" i="1"/>
  <c r="Y46" i="1"/>
  <c r="DJ47" i="5"/>
  <c r="AE46" i="1"/>
  <c r="W46" i="1" s="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O51" i="2"/>
  <c r="M50" i="2"/>
  <c r="BK50" i="5" l="1" a="1"/>
  <c r="BK50" i="5" s="1"/>
  <c r="AL57" i="9"/>
  <c r="BQ45" i="8"/>
  <c r="BR45" i="8"/>
  <c r="AD48" i="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E121"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O52" i="2"/>
  <c r="P52" i="2"/>
  <c r="J52" i="10"/>
  <c r="N52" i="5" s="1"/>
  <c r="AL58" i="9" l="1"/>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CE122" i="8"/>
  <c r="AH50" i="11"/>
  <c r="AK50" i="11"/>
  <c r="DB49" i="5"/>
  <c r="Y48" i="1"/>
  <c r="DJ49" i="5"/>
  <c r="AE48" i="1"/>
  <c r="W48" i="1" s="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O53" i="2"/>
  <c r="J53" i="10"/>
  <c r="N53" i="5" s="1"/>
  <c r="M52" i="2"/>
  <c r="P53" i="2"/>
  <c r="AT51" i="5" l="1"/>
  <c r="BI52" i="5" a="1"/>
  <c r="BI52" i="5" s="1"/>
  <c r="BF52" i="5" a="1"/>
  <c r="BF52" i="5"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CE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O54" i="2"/>
  <c r="M53" i="2"/>
  <c r="J54" i="10"/>
  <c r="N54" i="5" s="1"/>
  <c r="AL60" i="9" l="1"/>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CE124" i="8"/>
  <c r="AH52" i="11"/>
  <c r="AJ52" i="1"/>
  <c r="DF51" i="5"/>
  <c r="AM52" i="1"/>
  <c r="AK52" i="11"/>
  <c r="DE51" i="5"/>
  <c r="DB51" i="5"/>
  <c r="DH51" i="5"/>
  <c r="Y50" i="1"/>
  <c r="DJ51" i="5"/>
  <c r="AE50" i="1"/>
  <c r="W50" i="1" s="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O55" i="2"/>
  <c r="P55" i="2"/>
  <c r="M54" i="2"/>
  <c r="J55" i="10"/>
  <c r="N55" i="5" s="1"/>
  <c r="BK54" i="5" l="1" a="1"/>
  <c r="BK54" i="5" s="1"/>
  <c r="BF54" i="5" a="1"/>
  <c r="BF54" i="5"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CE125" i="8"/>
  <c r="DB52" i="5"/>
  <c r="AH53" i="11"/>
  <c r="AJ53" i="1"/>
  <c r="Y51" i="1"/>
  <c r="DJ52" i="5"/>
  <c r="AK53" i="11"/>
  <c r="AE54" i="8"/>
  <c r="AT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O56" i="2"/>
  <c r="BB55" i="5" l="1"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CE126"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BB56" i="5" l="1" a="1"/>
  <c r="BB56" i="5" s="1"/>
  <c r="AL63" i="9"/>
  <c r="BQ51" i="8"/>
  <c r="BR51" i="8"/>
  <c r="AD54" i="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CE127"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L64" i="9" l="1"/>
  <c r="BQ52" i="8"/>
  <c r="BR52" i="8"/>
  <c r="AD55" i="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CE128" i="8"/>
  <c r="DB55" i="5"/>
  <c r="AK56" i="11"/>
  <c r="DF55" i="5"/>
  <c r="DE55" i="5"/>
  <c r="Y54" i="1"/>
  <c r="DJ55" i="5"/>
  <c r="AE54" i="1"/>
  <c r="W54" i="1" s="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BC58" i="5" l="1"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CE129" i="8"/>
  <c r="DF56" i="5"/>
  <c r="DE56" i="5"/>
  <c r="AM57" i="1"/>
  <c r="DB56" i="5"/>
  <c r="AT58" i="8"/>
  <c r="AE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BQ59" i="5" l="1" a="1"/>
  <c r="BQ59" i="5" s="1"/>
  <c r="BN59" i="5" a="1"/>
  <c r="BN59" i="5" s="1"/>
  <c r="AZ59" i="5" a="1"/>
  <c r="AZ59" i="5" s="1"/>
  <c r="BJ59" i="5" a="1"/>
  <c r="BJ59" i="5" s="1"/>
  <c r="BD59" i="5" a="1"/>
  <c r="BD59" i="5" s="1"/>
  <c r="AL66" i="9"/>
  <c r="BQ54" i="8"/>
  <c r="BR54" i="8"/>
  <c r="AD57" i="1"/>
  <c r="BF59" i="5" a="1"/>
  <c r="BF59" i="5"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CE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AD58" i="1" l="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CE131"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O62" i="2"/>
  <c r="J62" i="10"/>
  <c r="N62" i="5" s="1"/>
  <c r="M61" i="2"/>
  <c r="P62" i="2"/>
  <c r="AD59" i="1" l="1"/>
  <c r="AL68" i="9"/>
  <c r="BQ56" i="8"/>
  <c r="BR56" i="8"/>
  <c r="CV61" i="5"/>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AS60" i="5"/>
  <c r="E64" i="8"/>
  <c r="CE132" i="8"/>
  <c r="DF59" i="5"/>
  <c r="AK60" i="11"/>
  <c r="DE59" i="5"/>
  <c r="AE58" i="1"/>
  <c r="W58" i="1" s="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O63" i="2"/>
  <c r="BG62" i="5" l="1" a="1"/>
  <c r="BG62" i="5" s="1"/>
  <c r="AL69" i="9"/>
  <c r="BQ57" i="8"/>
  <c r="BR57" i="8"/>
  <c r="AD60" i="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AS61" i="5"/>
  <c r="E65" i="8"/>
  <c r="CE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L70" i="9" l="1"/>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AS62" i="5"/>
  <c r="E66" i="8"/>
  <c r="CE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BM64" i="5" l="1" a="1"/>
  <c r="BM64" i="5" s="1"/>
  <c r="AL71" i="9"/>
  <c r="BQ59" i="8"/>
  <c r="BR59" i="8"/>
  <c r="AD62" i="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AS63" i="5"/>
  <c r="E67" i="8"/>
  <c r="CE136" i="8"/>
  <c r="CE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O66" i="2"/>
  <c r="P66" i="2"/>
  <c r="M65" i="2"/>
  <c r="BC65" i="5" l="1"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H64" i="11"/>
  <c r="AS64" i="5"/>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O67" i="2"/>
  <c r="J67" i="10"/>
  <c r="N67" i="5" s="1"/>
  <c r="M66" i="2"/>
  <c r="P67" i="2"/>
  <c r="BC66" i="5" l="1" a="1"/>
  <c r="BC66" i="5" s="1"/>
  <c r="BQ66" i="5" a="1"/>
  <c r="BQ66" i="5" s="1"/>
  <c r="BA66" i="5" a="1"/>
  <c r="BA66" i="5" s="1"/>
  <c r="BK66" i="5" a="1"/>
  <c r="BK66" i="5" s="1"/>
  <c r="BH66" i="5" a="1"/>
  <c r="BH66" i="5" s="1"/>
  <c r="BM66" i="5" a="1"/>
  <c r="BM66" i="5" s="1"/>
  <c r="BN66" i="5" a="1"/>
  <c r="BN66" i="5" s="1"/>
  <c r="AL73" i="9"/>
  <c r="BQ61" i="8"/>
  <c r="BR61" i="8"/>
  <c r="AD64" i="1"/>
  <c r="BF66" i="5" a="1"/>
  <c r="BF66" i="5"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H65" i="11"/>
  <c r="AS65" i="5"/>
  <c r="E69" i="8"/>
  <c r="DF64" i="5"/>
  <c r="AM65" i="1"/>
  <c r="DB64" i="5"/>
  <c r="DE64" i="5"/>
  <c r="AT66" i="8"/>
  <c r="AE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O68" i="2"/>
  <c r="J68" i="10"/>
  <c r="N68" i="5" s="1"/>
  <c r="M67" i="2"/>
  <c r="AD65" i="1" l="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H66" i="11"/>
  <c r="AK66" i="11"/>
  <c r="AS66" i="5"/>
  <c r="E70" i="8"/>
  <c r="DF65" i="5"/>
  <c r="DE65" i="5"/>
  <c r="AM66" i="1"/>
  <c r="DB65" i="5"/>
  <c r="AF64" i="1"/>
  <c r="AE64" i="1"/>
  <c r="W64" i="1" s="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L75" i="9" l="1"/>
  <c r="BQ63" i="8"/>
  <c r="BR63" i="8"/>
  <c r="AD66" i="1"/>
  <c r="BH68" i="5" a="1"/>
  <c r="BH68" i="5" s="1"/>
  <c r="BK68" i="5" a="1"/>
  <c r="BK68" i="5" s="1"/>
  <c r="BC68" i="5" a="1"/>
  <c r="BC68" i="5" s="1"/>
  <c r="BF68" i="5" a="1"/>
  <c r="BF68" i="5"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T68" i="8"/>
  <c r="AE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O70" i="2"/>
  <c r="M69" i="2"/>
  <c r="J70" i="10"/>
  <c r="N70" i="5" s="1"/>
  <c r="P70" i="2"/>
  <c r="BD69" i="5" l="1"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AS68" i="5"/>
  <c r="E72" i="8"/>
  <c r="DF67" i="5"/>
  <c r="AJ68" i="1"/>
  <c r="DE67" i="5"/>
  <c r="AE69" i="8"/>
  <c r="AT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O71" i="2"/>
  <c r="P71" i="2"/>
  <c r="M70" i="2"/>
  <c r="AQ64" i="5" l="1"/>
  <c r="BD70" i="5" a="1"/>
  <c r="BD70" i="5" s="1"/>
  <c r="BI70" i="5" a="1"/>
  <c r="BI70" i="5" s="1"/>
  <c r="BN70" i="5" a="1"/>
  <c r="BN70" i="5" s="1"/>
  <c r="BC70" i="5" a="1"/>
  <c r="BC70" i="5" s="1"/>
  <c r="AL77" i="9"/>
  <c r="BQ65" i="8"/>
  <c r="BR65" i="8"/>
  <c r="AD68" i="1"/>
  <c r="BF70" i="5" a="1"/>
  <c r="BF70" i="5"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Q65" i="5" s="1"/>
  <c r="AN65" i="5"/>
  <c r="AR65" i="5" s="1"/>
  <c r="AH69" i="11"/>
  <c r="AC65" i="10"/>
  <c r="X65" i="10" s="1"/>
  <c r="AS69" i="5"/>
  <c r="E73" i="8"/>
  <c r="BV66" i="8"/>
  <c r="CG66" i="8" s="1"/>
  <c r="CW66" i="8" s="1"/>
  <c r="DF68" i="5"/>
  <c r="AK69" i="11"/>
  <c r="AJ69" i="1"/>
  <c r="DB68" i="5"/>
  <c r="DE68" i="5"/>
  <c r="AE70" i="8"/>
  <c r="AT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O72" i="2"/>
  <c r="M71" i="2"/>
  <c r="J72" i="10"/>
  <c r="N72" i="5" s="1"/>
  <c r="P72" i="2"/>
  <c r="BI71" i="5" l="1"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Q66" i="5" s="1"/>
  <c r="AN66" i="5"/>
  <c r="AR66" i="5" s="1"/>
  <c r="AH70" i="11"/>
  <c r="AS70" i="5"/>
  <c r="E74" i="8"/>
  <c r="CA66" i="8"/>
  <c r="CQ66" i="8" s="1"/>
  <c r="BX66" i="8"/>
  <c r="BY66" i="8"/>
  <c r="CB66" i="8"/>
  <c r="CS66" i="8" s="1"/>
  <c r="CT66" i="8" s="1"/>
  <c r="DB69" i="5"/>
  <c r="BZ66" i="8"/>
  <c r="DF69" i="5"/>
  <c r="DE69" i="5"/>
  <c r="AE71" i="8"/>
  <c r="AT71" i="8"/>
  <c r="AE68" i="1"/>
  <c r="W68" i="1" s="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O73" i="2"/>
  <c r="BQ72" i="5" l="1"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AS71" i="5"/>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O74" i="2"/>
  <c r="M73" i="2"/>
  <c r="J74" i="10"/>
  <c r="N74" i="5" s="1"/>
  <c r="AQ67" i="5" l="1"/>
  <c r="BJ73" i="5" a="1"/>
  <c r="BJ73" i="5" s="1"/>
  <c r="BC73" i="5" a="1"/>
  <c r="BC73" i="5" s="1"/>
  <c r="BE73" i="5" a="1"/>
  <c r="BE73" i="5" s="1"/>
  <c r="BF73" i="5" a="1"/>
  <c r="BF73" i="5"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Q68" i="5" s="1"/>
  <c r="AN68" i="5"/>
  <c r="AR68" i="5" s="1"/>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O75" i="2"/>
  <c r="M74" i="2"/>
  <c r="P75" i="2"/>
  <c r="AL81" i="9" l="1"/>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AS73" i="5"/>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AE71" i="1"/>
  <c r="W71" i="1" s="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O76" i="2"/>
  <c r="J76" i="10"/>
  <c r="N76" i="5" s="1"/>
  <c r="P76" i="2"/>
  <c r="M75" i="2"/>
  <c r="AQ69" i="5" l="1"/>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AE72" i="1"/>
  <c r="W72" i="1" s="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B38" i="4"/>
  <c r="O77" i="2"/>
  <c r="M76" i="2"/>
  <c r="P77" i="2"/>
  <c r="B39" i="4"/>
  <c r="AQ70" i="5" l="1"/>
  <c r="BO76" i="5" a="1"/>
  <c r="BO76" i="5" s="1"/>
  <c r="AL83" i="9"/>
  <c r="BQ71" i="8"/>
  <c r="BR71" i="8"/>
  <c r="AD74" i="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AS75" i="5"/>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O78" i="2"/>
  <c r="D88" i="4"/>
  <c r="J78" i="10"/>
  <c r="N78" i="5" s="1"/>
  <c r="P78" i="2"/>
  <c r="AQ71" i="5" l="1"/>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AS76" i="5"/>
  <c r="E80" i="8"/>
  <c r="AH76" i="11"/>
  <c r="DE75" i="5"/>
  <c r="BV73" i="8"/>
  <c r="CG73" i="8" s="1"/>
  <c r="CW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C89" i="4"/>
  <c r="M78" i="2"/>
  <c r="J79" i="10"/>
  <c r="N79" i="5" s="1"/>
  <c r="O79" i="2"/>
  <c r="P79" i="2"/>
  <c r="E18" i="4"/>
  <c r="AQ72" i="5" l="1"/>
  <c r="BE78" i="5" a="1"/>
  <c r="BE78" i="5" s="1"/>
  <c r="BN78" i="5" a="1"/>
  <c r="BN78" i="5" s="1"/>
  <c r="BI78" i="5" a="1"/>
  <c r="BI78" i="5" s="1"/>
  <c r="BC78" i="5" a="1"/>
  <c r="BC78" i="5" s="1"/>
  <c r="AZ78" i="5" a="1"/>
  <c r="AZ78" i="5" s="1"/>
  <c r="AL85" i="9"/>
  <c r="BQ73" i="8"/>
  <c r="BR73" i="8"/>
  <c r="AD76" i="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AQ73" i="5" l="1"/>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Q74" i="5" s="1"/>
  <c r="AS78" i="5"/>
  <c r="E82" i="8"/>
  <c r="CJ75" i="8"/>
  <c r="CO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O81" i="2"/>
  <c r="P81" i="2"/>
  <c r="J81" i="10"/>
  <c r="N81" i="5" s="1"/>
  <c r="M80" i="2"/>
  <c r="BG80" i="5" l="1" a="1"/>
  <c r="BG80" i="5" s="1"/>
  <c r="BK80" i="5" a="1"/>
  <c r="BK80" i="5" s="1"/>
  <c r="BO80" i="5" a="1"/>
  <c r="BO80" i="5" s="1"/>
  <c r="AL87" i="9"/>
  <c r="BQ75" i="8"/>
  <c r="BR75" i="8"/>
  <c r="AD78" i="1"/>
  <c r="BF80" i="5" a="1"/>
  <c r="BF80" i="5"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Q75" i="5" l="1"/>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O83" i="2"/>
  <c r="P83" i="2"/>
  <c r="J83" i="10"/>
  <c r="N83" i="5" s="1"/>
  <c r="M82" i="2"/>
  <c r="C77" i="4" l="1"/>
  <c r="D76" i="4"/>
  <c r="BA82" i="5" a="1"/>
  <c r="BA82" i="5" s="1"/>
  <c r="D81" i="4"/>
  <c r="AD80" i="1"/>
  <c r="BF82" i="5" a="1"/>
  <c r="BF82" i="5"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I61"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O84" i="2"/>
  <c r="M83" i="2"/>
  <c r="B25" i="4" l="1"/>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AZ84" i="5" s="1" a="1"/>
  <c r="AZ84" i="5" s="1"/>
  <c r="BI83" i="5" a="1"/>
  <c r="BI83"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BI84" i="5" l="1" a="1"/>
  <c r="BI84" i="5" s="1"/>
  <c r="AL91" i="9"/>
  <c r="BQ79" i="8"/>
  <c r="BR79" i="8"/>
  <c r="H38" i="4"/>
  <c r="H37" i="4"/>
  <c r="H39" i="4"/>
  <c r="AD82" i="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AE81" i="1"/>
  <c r="W81" i="1" s="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O86" i="2"/>
  <c r="J86" i="10"/>
  <c r="N86" i="5" s="1"/>
  <c r="M85" i="2"/>
  <c r="AL92" i="9" l="1"/>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O87" i="2"/>
  <c r="J49" i="4" l="1"/>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AE83" i="1"/>
  <c r="W83" i="1" s="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O88" i="2"/>
  <c r="AD85" i="1" l="1"/>
  <c r="BN87" i="5" a="1"/>
  <c r="BN87" i="5" s="1"/>
  <c r="BK87" i="5" a="1"/>
  <c r="BK87" i="5" s="1"/>
  <c r="BA87" i="5" a="1"/>
  <c r="BA87" i="5" s="1"/>
  <c r="BB87" i="5" a="1"/>
  <c r="BB87" i="5" s="1"/>
  <c r="AL94" i="9"/>
  <c r="BQ82" i="8"/>
  <c r="BR82" i="8"/>
  <c r="BC87" i="5"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AE84" i="1"/>
  <c r="W84" i="1" s="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O89" i="2"/>
  <c r="M88" i="2"/>
  <c r="AD86" i="1" l="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BF89" i="5" l="1" a="1"/>
  <c r="BF89" i="5"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O91" i="2"/>
  <c r="BF90" i="5" l="1" a="1"/>
  <c r="BF90" i="5"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L98" i="9" l="1"/>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O93" i="2"/>
  <c r="M92" i="2"/>
  <c r="J93" i="10"/>
  <c r="N93" i="5" s="1"/>
  <c r="BE92" i="5" l="1" a="1"/>
  <c r="BE92" i="5" s="1"/>
  <c r="BM92" i="5" a="1"/>
  <c r="BM92" i="5" s="1"/>
  <c r="BJ92" i="5" a="1"/>
  <c r="BJ92" i="5" s="1"/>
  <c r="BB92" i="5" a="1"/>
  <c r="BB92" i="5" s="1"/>
  <c r="BF92" i="5" a="1"/>
  <c r="BF92" i="5"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O94" i="2"/>
  <c r="P94" i="2"/>
  <c r="BM93" i="5" l="1" a="1"/>
  <c r="BM93" i="5" s="1"/>
  <c r="AD91" i="1"/>
  <c r="AL100" i="9"/>
  <c r="BQ88" i="8"/>
  <c r="BR88" i="8"/>
  <c r="BI93" i="5" a="1"/>
  <c r="BI93" i="5" s="1"/>
  <c r="AZ93" i="5" a="1"/>
  <c r="AZ93" i="5" s="1"/>
  <c r="BF93" i="5" a="1"/>
  <c r="BF93" i="5"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O95" i="2"/>
  <c r="BN94" i="5" l="1"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O96" i="2"/>
  <c r="J96" i="10"/>
  <c r="N96" i="5" s="1"/>
  <c r="P96" i="2"/>
  <c r="M95" i="2"/>
  <c r="AD93" i="1" l="1"/>
  <c r="AL102" i="9"/>
  <c r="BQ90" i="8"/>
  <c r="BR90" i="8"/>
  <c r="BF95" i="5" a="1"/>
  <c r="BF95" i="5"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O97" i="2"/>
  <c r="BN96" i="5" l="1"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O98" i="2"/>
  <c r="M97" i="2"/>
  <c r="J98" i="10"/>
  <c r="N98" i="5" s="1"/>
  <c r="P98" i="2"/>
  <c r="BM97" i="5" l="1" a="1"/>
  <c r="BM97" i="5" s="1"/>
  <c r="AD95" i="1"/>
  <c r="AZ97" i="5" a="1"/>
  <c r="AZ97" i="5" s="1"/>
  <c r="BF97" i="5" a="1"/>
  <c r="BF97" i="5"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AE94" i="1"/>
  <c r="W94" i="1" s="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O99" i="2"/>
  <c r="BF98" i="5" l="1" a="1"/>
  <c r="BF98" i="5"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BM99" i="5" l="1"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BJ100" i="5" l="1" a="1"/>
  <c r="BJ100" i="5" s="1"/>
  <c r="AL107" i="9"/>
  <c r="BQ95" i="8"/>
  <c r="BR95" i="8"/>
  <c r="AD98" i="1"/>
  <c r="BF100" i="5" a="1"/>
  <c r="BF100" i="5"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BI101" i="5" l="1"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AD100" i="1" l="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BO103" i="5" l="1" a="1"/>
  <c r="BO103" i="5" s="1"/>
  <c r="AL110" i="9"/>
  <c r="BQ98" i="8"/>
  <c r="BR98" i="8"/>
  <c r="AD101" i="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L111" i="9" l="1"/>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AE101" i="1"/>
  <c r="W101" i="1" s="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BO105" i="5" l="1"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O107" i="2"/>
  <c r="BM106" i="5" l="1"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AE103" i="1"/>
  <c r="W103" i="1" s="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I107" i="5" l="1"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L115" i="9" l="1"/>
  <c r="BQ103" i="8"/>
  <c r="BR103" i="8"/>
  <c r="AD106" i="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AZ108" i="5" a="1"/>
  <c r="AZ108" i="5" s="1"/>
  <c r="BM108" i="5" a="1"/>
  <c r="BM108" i="5" s="1"/>
  <c r="BA108" i="5" a="1"/>
  <c r="BA108"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AE105" i="1"/>
  <c r="W105" i="1" s="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O110" i="2"/>
  <c r="J110" i="10"/>
  <c r="N110" i="5" s="1"/>
  <c r="BC109" i="5" l="1"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G110" i="5" s="1" a="1"/>
  <c r="BG110" i="5" s="1"/>
  <c r="BN109" i="5" a="1"/>
  <c r="BN109" i="5" s="1"/>
  <c r="BI109" i="5" a="1"/>
  <c r="BI109" i="5" s="1"/>
  <c r="BF109" i="5" a="1"/>
  <c r="BF109" i="5" s="1"/>
  <c r="BF110" i="5" s="1" a="1"/>
  <c r="BF110" i="5"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AE106" i="1"/>
  <c r="W106" i="1" s="1"/>
  <c r="K110" i="11"/>
  <c r="A110" i="14"/>
  <c r="CA110" i="14" s="1"/>
  <c r="A110" i="5"/>
  <c r="BJ110" i="5" s="1" a="1"/>
  <c r="BJ110" i="5" s="1"/>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O111" i="2"/>
  <c r="P111" i="2"/>
  <c r="J111" i="10"/>
  <c r="N111" i="5" s="1"/>
  <c r="M110" i="2"/>
  <c r="BK110" i="5" l="1"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AE107" i="1"/>
  <c r="W107" i="1" s="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O112" i="2"/>
  <c r="BK111" i="5" l="1"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O113" i="2"/>
  <c r="P113" i="2"/>
  <c r="J113" i="10"/>
  <c r="N113" i="5" s="1"/>
  <c r="AL119" i="9" l="1"/>
  <c r="BQ107" i="8"/>
  <c r="BR107" i="8"/>
  <c r="AD110" i="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L120" i="9" l="1"/>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AE110" i="1"/>
  <c r="W110" i="1" s="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L121" i="9" l="1"/>
  <c r="BQ109" i="8"/>
  <c r="BR109" i="8"/>
  <c r="AD112" i="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O116" i="2"/>
  <c r="AL122" i="9" l="1"/>
  <c r="BQ110" i="8"/>
  <c r="BR110" i="8"/>
  <c r="AD113" i="1"/>
  <c r="BK115" i="5" a="1"/>
  <c r="BK115" i="5" s="1"/>
  <c r="BQ115" i="5" a="1"/>
  <c r="BQ115" i="5" s="1"/>
  <c r="BA115" i="5" a="1"/>
  <c r="BA115" i="5" s="1"/>
  <c r="BG115" i="5" a="1"/>
  <c r="BG115" i="5" s="1"/>
  <c r="BM115" i="5" a="1"/>
  <c r="BM115" i="5" s="1"/>
  <c r="BF115" i="5" a="1"/>
  <c r="BF115"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O117" i="2"/>
  <c r="M116" i="2"/>
  <c r="BF116" i="5" l="1" a="1"/>
  <c r="BF116" i="5"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I117" i="5" s="1" a="1"/>
  <c r="BI117"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O118" i="2"/>
  <c r="BB117" i="5" l="1"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O119" i="2"/>
  <c r="P119" i="2"/>
  <c r="J119" i="10"/>
  <c r="N119" i="5" s="1"/>
  <c r="AL125" i="9" l="1"/>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AE115" i="1"/>
  <c r="W115" i="1" s="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O120" i="2"/>
  <c r="P120" i="2"/>
  <c r="M119" i="2"/>
  <c r="BJ119" i="5" l="1" a="1"/>
  <c r="BJ119" i="5" s="1"/>
  <c r="AL126" i="9"/>
  <c r="BQ114" i="8"/>
  <c r="BR114" i="8"/>
  <c r="AD117" i="1"/>
  <c r="BQ119" i="5" a="1"/>
  <c r="BQ119" i="5" s="1"/>
  <c r="BF119" i="5" a="1"/>
  <c r="BF119" i="5"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BI120" i="5" l="1"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AE117" i="1"/>
  <c r="W117" i="1" s="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O122" i="2"/>
  <c r="J122" i="10"/>
  <c r="N122" i="5" s="1"/>
  <c r="M121" i="2"/>
  <c r="P122" i="2"/>
  <c r="AL128" i="9" l="1"/>
  <c r="BQ116" i="8"/>
  <c r="BR116" i="8"/>
  <c r="BQ121" i="5"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AE118" i="1"/>
  <c r="W118" i="1" s="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AL129" i="9" l="1"/>
  <c r="BQ117" i="8"/>
  <c r="BR117" i="8"/>
  <c r="BD122" i="5"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O124" i="2"/>
  <c r="P124" i="2"/>
  <c r="J124" i="10"/>
  <c r="N124" i="5" s="1"/>
  <c r="BH123" i="5" l="1"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O125" i="2"/>
  <c r="P125" i="2"/>
  <c r="M124" i="2"/>
  <c r="BI124" i="5" l="1" a="1"/>
  <c r="BI124" i="5" s="1"/>
  <c r="BG124" i="5" a="1"/>
  <c r="BG124" i="5" s="1"/>
  <c r="BK124" i="5" a="1"/>
  <c r="BK124" i="5" s="1"/>
  <c r="BC124" i="5" a="1"/>
  <c r="BC124" i="5" s="1"/>
  <c r="BO124" i="5" a="1"/>
  <c r="BO124" i="5" s="1"/>
  <c r="BD124" i="5" a="1"/>
  <c r="BD124" i="5" s="1"/>
  <c r="BF124" i="5" a="1"/>
  <c r="BF124" i="5"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O126" i="2"/>
  <c r="P126" i="2"/>
  <c r="M125" i="2"/>
  <c r="J126" i="10"/>
  <c r="N126" i="5" s="1"/>
  <c r="AZ125" i="5" l="1"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AE122" i="1"/>
  <c r="W122" i="1" s="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L133" i="9" l="1"/>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Z127" i="5" l="1"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O129" i="2"/>
  <c r="AL135" i="9" l="1"/>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O130" i="2"/>
  <c r="P130" i="2"/>
  <c r="BN129" i="5" l="1"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AE126" i="1"/>
  <c r="W126" i="1" s="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BN130" i="5" l="1" a="1"/>
  <c r="BN130" i="5" s="1"/>
  <c r="AD128" i="1"/>
  <c r="BQ130" i="5" a="1"/>
  <c r="BQ130" i="5" s="1"/>
  <c r="BM130" i="5" a="1"/>
  <c r="BM130" i="5" s="1"/>
  <c r="BQ125" i="8"/>
  <c r="BR125" i="8"/>
  <c r="DC122" i="8"/>
  <c r="G122" i="1" s="1"/>
  <c r="N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AD129" i="1" l="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AE128" i="1"/>
  <c r="W128" i="1" s="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O133" i="2"/>
  <c r="M132" i="2"/>
  <c r="BB132" i="5" l="1"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O134" i="2"/>
  <c r="BQ128" i="8" l="1"/>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O135" i="2"/>
  <c r="P135" i="2"/>
  <c r="J135" i="10"/>
  <c r="N135" i="5" s="1"/>
  <c r="M134" i="2"/>
  <c r="BQ129" i="8" l="1"/>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E136" i="1"/>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AF139" i="8"/>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O136" i="2"/>
  <c r="J136" i="10"/>
  <c r="N136" i="5" s="1"/>
  <c r="P136" i="2"/>
  <c r="BJ135" i="5" l="1"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BO136" i="5" l="1" a="1"/>
  <c r="BO136" i="5" s="1"/>
  <c r="BE136" i="5" a="1"/>
  <c r="BE136" i="5" s="1"/>
  <c r="BQ131" i="8"/>
  <c r="BR131" i="8"/>
  <c r="AD134" i="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AE133" i="1"/>
  <c r="W133" i="1" s="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Q4" i="8" s="1"/>
  <c r="D36" i="4"/>
  <c r="R76" i="8"/>
  <c r="BM136" i="1"/>
  <c r="P4" i="7" l="1"/>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c r="C7" i="8" l="1"/>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H53" i="1" s="1"/>
  <c r="F52" i="1"/>
  <c r="F52" i="2"/>
  <c r="H52" i="2"/>
  <c r="S52" i="8"/>
  <c r="AP52" i="1" l="1"/>
  <c r="T52" i="1" s="1"/>
  <c r="I53" i="1" s="1"/>
  <c r="J52" i="11"/>
  <c r="G52" i="2"/>
  <c r="AP53" i="8"/>
  <c r="AK53" i="5"/>
  <c r="V53" i="10"/>
  <c r="AC53" i="7"/>
  <c r="BI53" i="1"/>
  <c r="C53" i="11"/>
  <c r="V52" i="8"/>
  <c r="T52" i="8"/>
  <c r="W52" i="8" s="1"/>
  <c r="O52" i="7"/>
  <c r="I52" i="11"/>
  <c r="Z52" i="2" l="1"/>
  <c r="C52" i="8"/>
  <c r="P52" i="7"/>
  <c r="F52" i="9"/>
  <c r="AO53" i="1"/>
  <c r="BJ53" i="1"/>
  <c r="AA53" i="8" l="1"/>
  <c r="Y52" i="2"/>
  <c r="X52" i="2" s="1"/>
  <c r="E53" i="2" l="1"/>
  <c r="L53" i="2" s="1"/>
  <c r="H53" i="11"/>
  <c r="AV53" i="8"/>
  <c r="AB53" i="7"/>
  <c r="AJ53" i="7" s="1"/>
  <c r="B53" i="8"/>
  <c r="D53" i="2" s="1"/>
  <c r="U53" i="2" l="1"/>
  <c r="W52" i="2" s="1"/>
  <c r="C53" i="2" s="1"/>
  <c r="H53" i="2" l="1"/>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<sst xmlns="http://schemas.openxmlformats.org/spreadsheetml/2006/main" count="2938" uniqueCount="1124">
  <si>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</si>
  <si>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</si>
  <si>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</si>
  <si>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</si>
  <si>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</si>
  <si>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</si>
  <si>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</si>
  <si>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</si>
  <si>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</si>
  <si>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</si>
  <si>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</si>
  <si>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</si>
  <si>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</si>
  <si>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</si>
  <si>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</si>
  <si>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</si>
  <si>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</si>
  <si>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</si>
  <si>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</si>
  <si>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</si>
  <si>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</si>
  <si>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</si>
  <si>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</si>
  <si>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</si>
  <si>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</si>
  <si>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</si>
  <si>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</si>
  <si>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</si>
  <si>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</si>
  <si>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</si>
  <si>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</si>
  <si>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</si>
  <si>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</si>
  <si>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</si>
  <si>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</si>
  <si>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</si>
  <si>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</si>
  <si>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</si>
  <si>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</si>
  <si>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</si>
  <si>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</si>
  <si>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</si>
  <si>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</si>
  <si>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</si>
  <si>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</si>
  <si>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</si>
  <si>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</si>
  <si>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</si>
  <si>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</si>
  <si>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</si>
  <si>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</si>
  <si>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</si>
  <si>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</si>
  <si>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</si>
  <si>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</si>
  <si>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</si>
  <si>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</si>
  <si>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</si>
  <si>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</si>
  <si>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</si>
  <si>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</si>
  <si>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</si>
  <si>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</si>
  <si>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</si>
  <si>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</si>
  <si>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</si>
  <si>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</si>
  <si>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</si>
  <si>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</si>
  <si>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</si>
  <si>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</si>
  <si>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</si>
  <si>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</si>
  <si>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</si>
  <si>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</si>
  <si>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</si>
  <si>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</si>
  <si>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</si>
  <si>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</si>
  <si>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</si>
  <si>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</si>
  <si>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</si>
  <si>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</si>
  <si>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</si>
  <si>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</si>
  <si>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</si>
  <si>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</si>
  <si>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</si>
  <si>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</si>
  <si>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</si>
  <si>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</si>
  <si>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</si>
  <si>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</si>
  <si>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</si>
  <si>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</si>
  <si>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</si>
  <si>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</si>
  <si>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</si>
  <si>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</si>
  <si>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</si>
  <si>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</si>
  <si>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</si>
  <si>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</si>
  <si>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</si>
  <si>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</si>
  <si>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</si>
  <si>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</si>
  <si>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</si>
  <si>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</si>
  <si>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</si>
  <si>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</si>
  <si>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</si>
  <si>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</si>
  <si>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</si>
  <si>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</si>
  <si>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</si>
  <si>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</si>
  <si>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</si>
  <si>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</si>
  <si>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</si>
  <si>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</si>
  <si>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</si>
  <si>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</si>
  <si>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</si>
  <si>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</si>
  <si>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</si>
  <si>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</si>
  <si>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</si>
  <si>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</si>
  <si>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</si>
  <si>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</si>
  <si>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</si>
  <si>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</si>
  <si>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</si>
  <si>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</si>
  <si>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</si>
  <si>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</si>
  <si>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</si>
  <si>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</si>
  <si>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</si>
  <si>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</si>
  <si>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</si>
  <si>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</si>
  <si>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</si>
  <si>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</si>
  <si>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</si>
  <si>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</si>
  <si>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</si>
  <si>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</si>
  <si>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</si>
  <si>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</si>
  <si>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</si>
  <si>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</si>
  <si>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</si>
  <si>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</si>
  <si>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</si>
  <si>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</si>
  <si>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</si>
  <si>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</si>
  <si>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</si>
  <si>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</si>
  <si>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</si>
  <si>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</si>
  <si>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</si>
  <si>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</si>
  <si>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</si>
  <si>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</si>
  <si>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</si>
  <si>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</si>
  <si>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</si>
  <si>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</si>
  <si>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</si>
  <si>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</si>
  <si>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</si>
  <si>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</si>
  <si>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</si>
  <si>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</si>
  <si>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</si>
  <si>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</si>
  <si>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</si>
  <si>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</si>
  <si>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</si>
  <si>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</si>
  <si>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</si>
  <si>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</si>
  <si>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</si>
  <si>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</si>
  <si>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</si>
  <si>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</si>
  <si>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</si>
  <si>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</si>
  <si>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</si>
  <si>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</si>
  <si>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</si>
  <si>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</si>
  <si>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</si>
  <si>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</si>
  <si>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</si>
  <si>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</si>
  <si>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</si>
  <si>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</si>
  <si>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</si>
  <si>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</si>
  <si>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</si>
  <si>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</si>
  <si>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</si>
  <si>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</si>
  <si>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</si>
  <si>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</si>
  <si>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</si>
  <si>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</si>
  <si>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</si>
  <si>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</si>
  <si>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</si>
  <si>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</si>
  <si>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</si>
  <si>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</si>
  <si>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</si>
  <si>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</si>
  <si>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</si>
  <si>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</si>
  <si>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</si>
  <si>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</si>
  <si>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</si>
  <si>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</si>
  <si>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</si>
  <si>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</si>
  <si>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</si>
  <si>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</si>
  <si>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</si>
  <si>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</si>
  <si>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</si>
  <si>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</si>
  <si>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</si>
  <si>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</si>
  <si>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</si>
  <si>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</si>
  <si>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</si>
  <si>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</si>
  <si>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</si>
  <si>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</si>
  <si>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</si>
  <si>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</si>
  <si>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</si>
  <si>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</si>
  <si>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</si>
  <si>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</si>
  <si>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</si>
  <si>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</si>
  <si>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</si>
  <si>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</si>
  <si>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</si>
  <si>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</si>
  <si>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</si>
  <si>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</si>
  <si>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</si>
  <si>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</si>
  <si>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</si>
  <si>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</si>
  <si>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</si>
  <si>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</si>
  <si>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</si>
  <si>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</si>
  <si>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</si>
  <si>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</si>
  <si>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</si>
  <si>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</si>
  <si>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</si>
  <si>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</si>
  <si>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</si>
  <si>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</si>
  <si>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</si>
  <si>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</si>
  <si>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</si>
  <si>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</si>
  <si>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</si>
  <si>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</si>
  <si>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</si>
  <si>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</si>
  <si>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</si>
  <si>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</si>
  <si>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</si>
  <si>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</si>
  <si>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</si>
  <si>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</si>
  <si>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</si>
  <si>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</si>
  <si>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</si>
  <si>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</si>
  <si>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</si>
  <si>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</si>
  <si>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</si>
  <si>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</si>
  <si>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</si>
  <si>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</si>
  <si>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</si>
  <si>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</si>
  <si>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</si>
  <si>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</si>
  <si>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</si>
  <si>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</si>
  <si>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</si>
  <si>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</si>
  <si>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</si>
  <si>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</si>
  <si>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</si>
  <si>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</si>
  <si>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</si>
  <si>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</si>
  <si>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</si>
  <si>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</si>
  <si>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</si>
  <si>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</si>
  <si>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</si>
  <si>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</si>
  <si>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</si>
  <si>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</si>
  <si>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</si>
  <si>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</si>
  <si>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</si>
  <si>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</si>
  <si>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</si>
  <si>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</si>
  <si>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</si>
  <si>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</si>
  <si>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</si>
  <si>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</si>
  <si>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</si>
  <si>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</si>
  <si>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</si>
  <si>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</si>
  <si>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</si>
  <si>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</si>
  <si>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</si>
  <si>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</si>
  <si>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</si>
  <si>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</si>
  <si>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</si>
  <si>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</si>
  <si>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</si>
  <si>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</si>
  <si>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</si>
  <si>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</si>
  <si>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</si>
  <si>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</si>
  <si>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</si>
  <si>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</si>
  <si>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</si>
  <si>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</si>
  <si>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</si>
  <si>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</si>
  <si>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</si>
  <si>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</si>
  <si>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</si>
  <si>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</si>
  <si>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</si>
  <si>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</si>
  <si>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</si>
  <si>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</si>
  <si>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</si>
  <si>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</si>
  <si>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</si>
  <si>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</si>
  <si>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</si>
  <si>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</si>
  <si>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</si>
  <si>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</si>
  <si>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</si>
  <si>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</si>
  <si>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</si>
  <si>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</si>
  <si>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</si>
  <si>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</si>
  <si>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</si>
  <si>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</si>
  <si>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</si>
  <si>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</si>
  <si>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</si>
  <si>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</si>
  <si>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</si>
  <si>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</si>
  <si>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</si>
  <si>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</si>
  <si>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</si>
  <si>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</si>
  <si>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</si>
  <si>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</si>
  <si>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</si>
  <si>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</si>
  <si>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</si>
  <si>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</si>
  <si>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</si>
  <si>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</si>
  <si>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</si>
  <si>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</si>
  <si>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</si>
  <si>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</si>
  <si>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</si>
  <si>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</si>
  <si>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</si>
  <si>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</si>
  <si>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</si>
  <si>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</si>
  <si>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</si>
  <si>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</si>
  <si>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</si>
  <si>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</si>
  <si>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</si>
  <si>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</si>
  <si>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</si>
  <si>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</si>
  <si>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</si>
  <si>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</si>
  <si>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</si>
  <si>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</si>
  <si>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</si>
  <si>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</si>
  <si>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</si>
  <si>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</si>
  <si>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</si>
  <si>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</si>
  <si>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</si>
  <si>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</si>
  <si>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</si>
  <si>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</si>
  <si>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</si>
  <si>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</si>
  <si>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</si>
  <si>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</si>
  <si>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</si>
  <si>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</si>
  <si>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</si>
  <si>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</si>
  <si>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</si>
  <si>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</si>
  <si>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</si>
  <si>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</si>
  <si>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</si>
  <si>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</si>
  <si>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</si>
  <si>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</si>
  <si>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</si>
  <si>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</si>
  <si>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</si>
  <si>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</si>
  <si>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</si>
  <si>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</si>
  <si>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</si>
  <si>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</si>
  <si>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</si>
  <si>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</si>
  <si>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</si>
  <si>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</si>
  <si>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</si>
  <si>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</si>
  <si>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</si>
  <si>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</si>
  <si>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</si>
  <si>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</si>
  <si>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</si>
  <si>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</si>
  <si>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</si>
  <si>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</si>
  <si>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</si>
  <si>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</si>
  <si>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</si>
  <si>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</si>
  <si>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</si>
  <si>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</si>
  <si>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</si>
  <si>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</si>
  <si>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</si>
  <si>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</si>
  <si>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</si>
  <si>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</si>
  <si>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</si>
  <si>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</si>
  <si>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</si>
  <si>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</si>
  <si>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</si>
  <si>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</si>
  <si>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</si>
  <si>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</si>
  <si>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</si>
  <si>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</si>
  <si>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</si>
  <si>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</si>
  <si>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</si>
  <si>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</si>
  <si>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</si>
  <si>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</si>
  <si>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</si>
  <si>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</si>
  <si>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</si>
  <si>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</si>
  <si>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</si>
  <si>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</si>
  <si>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</si>
  <si>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</si>
  <si>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</si>
  <si>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</si>
  <si>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</si>
  <si>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</si>
  <si>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</si>
  <si>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</si>
  <si>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</si>
  <si>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</si>
  <si>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</si>
  <si>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</si>
  <si>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</si>
  <si>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</si>
  <si>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</si>
  <si>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</si>
  <si>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</si>
  <si>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</si>
  <si>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</si>
  <si>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</si>
  <si>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</si>
  <si>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</si>
  <si>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</si>
  <si>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</si>
  <si>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</si>
  <si>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</si>
  <si>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</si>
  <si>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</si>
  <si>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</si>
  <si>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</si>
  <si>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</si>
  <si>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</si>
  <si>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</si>
  <si>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</si>
  <si>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</si>
  <si>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</si>
  <si>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</si>
  <si>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</si>
  <si>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</si>
  <si>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</si>
  <si>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</si>
  <si>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</si>
  <si>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</si>
  <si>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</si>
  <si>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</si>
  <si>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</si>
  <si>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</si>
  <si>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</si>
  <si>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</si>
  <si>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</si>
  <si>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</si>
  <si>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</si>
  <si>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</si>
  <si>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</si>
  <si>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</si>
  <si>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</si>
  <si>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</si>
  <si>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</si>
  <si>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</si>
  <si>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</si>
  <si>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</si>
  <si>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</si>
  <si>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</si>
  <si>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</si>
  <si>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</si>
  <si>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</si>
  <si>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</si>
  <si>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</si>
  <si>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</si>
  <si>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</si>
  <si>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</si>
  <si>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</si>
  <si>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</si>
  <si>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</si>
  <si>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</si>
  <si>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</si>
  <si>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</si>
  <si>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</si>
  <si>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</si>
  <si>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</si>
  <si>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</si>
  <si>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</si>
  <si>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</si>
  <si>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</si>
  <si>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</si>
  <si>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</si>
  <si>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</si>
  <si>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</si>
  <si>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</si>
  <si>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</si>
  <si>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</si>
  <si>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</si>
  <si>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</si>
  <si>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</si>
  <si>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</si>
  <si>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</si>
  <si>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</si>
  <si>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</si>
  <si>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</si>
  <si>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</si>
  <si>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</si>
  <si>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</si>
  <si>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</si>
  <si>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</si>
  <si>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</si>
  <si>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</si>
  <si>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</si>
  <si>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</si>
  <si>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</si>
  <si>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</si>
  <si>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</si>
  <si>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</si>
  <si>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</si>
  <si>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</si>
  <si>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</si>
  <si>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</si>
  <si>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</si>
  <si>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</si>
  <si>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</si>
  <si>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</si>
  <si>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</si>
  <si>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</si>
  <si>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</si>
  <si>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</si>
  <si>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</si>
  <si>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</si>
  <si>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</si>
  <si>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</si>
  <si>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</si>
  <si>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</si>
  <si>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</si>
  <si>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</si>
  <si>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</si>
  <si>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</si>
  <si>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</si>
  <si>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</si>
  <si>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</si>
  <si>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</si>
  <si>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</si>
  <si>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</si>
  <si>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</si>
  <si>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</si>
  <si>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</si>
  <si>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</si>
  <si>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</si>
  <si>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</si>
  <si>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</si>
  <si>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</si>
  <si>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</si>
  <si>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</si>
  <si>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</si>
  <si>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</si>
  <si>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</si>
  <si>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</si>
  <si>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</si>
  <si>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</si>
  <si>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</si>
  <si>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</si>
  <si>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</si>
  <si>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</si>
  <si>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</si>
  <si>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</si>
  <si>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</si>
  <si>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</si>
  <si>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</si>
  <si>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</si>
  <si>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</si>
  <si>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</si>
  <si>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</si>
  <si>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</si>
  <si>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</si>
  <si>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</si>
  <si>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</si>
  <si>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</si>
  <si>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</si>
  <si>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</si>
  <si>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</si>
  <si>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</si>
  <si>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</si>
  <si>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</si>
  <si>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</si>
  <si>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</si>
  <si>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</si>
  <si>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</si>
  <si>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</si>
  <si>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</si>
  <si>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</si>
  <si>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</si>
  <si>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</si>
  <si>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</si>
  <si>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</si>
  <si>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</si>
  <si>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</si>
  <si>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</si>
  <si>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</si>
  <si>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</si>
  <si>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</si>
  <si>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</si>
  <si>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</si>
  <si>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</si>
  <si>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</si>
  <si>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</si>
  <si>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</si>
  <si>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</si>
  <si>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</si>
  <si>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</si>
  <si>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</si>
  <si>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</si>
  <si>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</si>
  <si>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</si>
  <si>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</si>
  <si>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</si>
  <si>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</si>
  <si>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</si>
  <si>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</si>
  <si>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</si>
  <si>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</si>
  <si>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</si>
  <si>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</si>
  <si>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</si>
  <si>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</si>
  <si>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</si>
  <si>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</si>
  <si>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</si>
  <si>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</si>
  <si>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</si>
  <si>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</si>
  <si>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</si>
  <si>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</si>
  <si>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</si>
  <si>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</si>
  <si>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</si>
  <si>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</si>
  <si>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</si>
  <si>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</si>
  <si>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</si>
  <si>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</si>
  <si>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</si>
  <si>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</si>
  <si>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</si>
  <si>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</si>
  <si>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</si>
  <si>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</si>
  <si>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</si>
  <si>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</si>
  <si>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</si>
  <si>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</si>
  <si>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</si>
  <si>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</si>
  <si>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</si>
  <si>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</si>
  <si>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</si>
  <si>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</si>
  <si>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</si>
  <si>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</si>
  <si>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</si>
  <si>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</si>
  <si>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</si>
  <si>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</si>
  <si>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</si>
  <si>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</si>
  <si>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</si>
  <si>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</si>
  <si>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</si>
  <si>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</si>
  <si>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</si>
  <si>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</si>
  <si>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</si>
  <si>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</si>
  <si>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</si>
  <si>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</si>
  <si>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</si>
  <si>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</si>
  <si>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</si>
  <si>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</si>
  <si>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</si>
  <si>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</si>
  <si>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</si>
  <si>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</si>
  <si>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</si>
  <si>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</si>
  <si>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</si>
  <si>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</si>
  <si>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</si>
  <si>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</si>
  <si>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</si>
  <si>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</si>
  <si>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</si>
  <si>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</si>
  <si>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</si>
  <si>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</si>
  <si>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</si>
  <si>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</si>
  <si>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</si>
  <si>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</si>
  <si>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</si>
  <si>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</si>
  <si>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</si>
  <si>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</si>
  <si>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</si>
  <si>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</si>
  <si>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</si>
  <si>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</si>
  <si>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</si>
  <si>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</si>
  <si>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</si>
  <si>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</si>
  <si>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</si>
  <si>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</si>
  <si>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</si>
  <si>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</si>
  <si>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</si>
  <si>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</si>
  <si>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</si>
  <si>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</si>
  <si>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</si>
  <si>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</si>
  <si>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</si>
  <si>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</si>
  <si>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</si>
  <si>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</si>
  <si>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</si>
  <si>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</si>
  <si>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</si>
  <si>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</si>
  <si>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</si>
  <si>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</si>
  <si>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</si>
  <si>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</si>
  <si>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</si>
  <si>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</si>
  <si>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</si>
  <si>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</si>
  <si>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</si>
  <si>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</si>
  <si>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</si>
  <si>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</si>
  <si>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</si>
  <si>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</si>
  <si>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</si>
  <si>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</si>
  <si>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</si>
  <si>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</si>
  <si>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</si>
  <si>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</si>
  <si>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</si>
  <si>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</si>
  <si>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</si>
  <si>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</si>
  <si>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</si>
  <si>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</si>
  <si>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</si>
  <si>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</si>
  <si>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</si>
  <si>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</si>
  <si>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</si>
  <si>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</si>
  <si>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</si>
  <si>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</si>
  <si>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</si>
  <si>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</si>
  <si>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</si>
  <si>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</si>
  <si>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</si>
  <si>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</si>
  <si>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</si>
  <si>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</si>
  <si>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</si>
  <si>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</si>
  <si>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</si>
  <si>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</si>
  <si>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</si>
  <si>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</si>
  <si>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</si>
  <si>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</si>
  <si>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</si>
  <si>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</si>
  <si>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</si>
  <si>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</si>
  <si>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</si>
  <si>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</si>
  <si>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</si>
  <si>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</si>
  <si>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</si>
  <si>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</si>
  <si>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</si>
  <si>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</si>
  <si>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</si>
  <si>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</si>
  <si>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</si>
  <si>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</si>
  <si>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</si>
  <si>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</si>
  <si>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</si>
  <si>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</si>
  <si>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</si>
  <si>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</si>
  <si>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</si>
  <si>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</si>
  <si>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</si>
  <si>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</si>
  <si>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</si>
  <si>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</si>
  <si>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</si>
  <si>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</si>
  <si>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</si>
  <si>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</si>
  <si>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</si>
  <si>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</si>
  <si>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</si>
  <si>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</si>
  <si>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</si>
  <si>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</si>
  <si>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</si>
  <si>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</si>
  <si>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</si>
  <si>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</si>
  <si>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</si>
  <si>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</si>
  <si>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</si>
  <si>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</si>
  <si>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</si>
  <si>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</si>
  <si>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</si>
  <si>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</si>
  <si>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</si>
  <si>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</si>
  <si>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</si>
  <si>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</si>
  <si>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</si>
  <si>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</si>
  <si>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</si>
  <si>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</si>
  <si>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</si>
  <si>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</si>
  <si>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</si>
  <si>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</si>
  <si>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</si>
  <si>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</si>
  <si>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</si>
  <si>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</si>
  <si>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</si>
  <si>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</si>
  <si>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</si>
  <si>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</si>
  <si>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</si>
  <si>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</si>
  <si>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</si>
  <si>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</si>
  <si>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</si>
  <si>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</si>
  <si>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</si>
  <si>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</si>
  <si>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</si>
  <si>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</si>
  <si>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</si>
  <si>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</si>
  <si>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</si>
  <si>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</si>
  <si>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</si>
  <si>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</si>
  <si>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</si>
  <si>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</si>
  <si>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</si>
  <si>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</si>
  <si>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</si>
  <si>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</si>
  <si>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</si>
  <si>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</si>
  <si>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</si>
  <si>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</si>
  <si>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</si>
  <si>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</si>
  <si>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</si>
  <si>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</si>
  <si>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</si>
  <si>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</si>
  <si>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</si>
  <si>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</si>
  <si>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</si>
  <si>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</si>
  <si>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</si>
  <si>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</si>
  <si>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</si>
  <si>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</si>
  <si>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</si>
  <si>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</si>
  <si>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</si>
  <si>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</si>
  <si>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</si>
  <si>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</si>
  <si>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</si>
  <si>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</si>
  <si>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</si>
  <si>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</si>
  <si>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</si>
  <si>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</si>
  <si>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</si>
  <si>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</si>
  <si>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</si>
  <si>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</si>
  <si>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</si>
  <si>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</si>
  <si>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</si>
  <si>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</si>
  <si>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</si>
  <si>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</si>
  <si>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</si>
  <si>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</si>
  <si>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</si>
  <si>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</si>
  <si>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</si>
  <si>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</si>
  <si>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</si>
  <si>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</si>
  <si>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</si>
  <si>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</si>
  <si>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</si>
  <si>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</si>
  <si>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</si>
  <si>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</si>
  <si>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</si>
  <si>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</si>
  <si>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</si>
  <si>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</si>
  <si>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</si>
  <si>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</si>
  <si>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</si>
  <si>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</si>
  <si>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</si>
  <si>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</si>
  <si>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</si>
  <si>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</si>
  <si>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</si>
  <si>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</si>
  <si>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</si>
  <si>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</si>
  <si>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</si>
  <si>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</si>
  <si>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</si>
  <si>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</si>
  <si>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</si>
  <si>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</si>
  <si>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</si>
  <si>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</si>
  <si>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</si>
  <si>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</si>
  <si>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</si>
  <si>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</si>
  <si>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</si>
  <si>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</si>
  <si>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</si>
  <si>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</si>
  <si>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</si>
  <si>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</si>
  <si>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</si>
  <si>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</si>
  <si>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</si>
  <si>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</si>
  <si>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</si>
  <si>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</si>
  <si>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</si>
  <si>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</si>
  <si>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</si>
  <si>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</si>
  <si>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</si>
  <si>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</si>
  <si>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</si>
  <si>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</si>
  <si>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</si>
  <si>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</si>
  <si>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</si>
  <si>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</si>
  <si>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</si>
  <si>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</si>
  <si>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</si>
  <si>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</si>
  <si>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</si>
  <si>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</si>
  <si>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</si>
  <si>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</si>
  <si>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</si>
  <si>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</si>
  <si>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</si>
  <si>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</si>
  <si>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</si>
  <si>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</si>
  <si>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</si>
  <si>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</si>
  <si>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</si>
  <si>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</si>
  <si>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</si>
  <si>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</si>
  <si>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</si>
  <si>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</si>
  <si>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</si>
  <si>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</si>
  <si>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</si>
  <si>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</si>
  <si>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</si>
  <si>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</si>
  <si>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</si>
  <si>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</si>
  <si>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</si>
  <si>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</si>
  <si>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</si>
  <si>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</si>
  <si>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</si>
  <si>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</si>
  <si>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</si>
  <si>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</si>
  <si>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t>Dire Bat</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</si>
  <si>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</si>
  <si>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</si>
  <si>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Goblin / Orc/Hum</t>
  </si>
  <si>
    <t>Killing Rage / Bloodrage / Crusade</t>
  </si>
  <si>
    <t>OD Round 31 - Test Round</t>
  </si>
  <si>
    <t>Alchemist Frost</t>
  </si>
  <si>
    <t>Train AM</t>
  </si>
  <si>
    <t>Train AS</t>
  </si>
  <si>
    <t>Archspies</t>
  </si>
  <si>
    <t>Release AS</t>
  </si>
  <si>
    <t>Release AM</t>
  </si>
  <si>
    <t>ASs Cost</t>
  </si>
  <si>
    <t>Archspy</t>
  </si>
  <si>
    <t xml:space="preserve"> + 1 spy</t>
  </si>
  <si>
    <t>Active Alch Frost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</si>
</sst>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5">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2]]/2,0),)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0" t="s">
        <v>457</v>
      </c>
      <c r="B1" s="470"/>
      <c r="C1" s="470"/>
      <c r="D1" s="470"/>
      <c r="E1" s="470"/>
      <c r="F1" s="470"/>
      <c r="G1" s="470"/>
      <c r="H1" s="470"/>
      <c r="I1" s="470"/>
      <c r="J1" s="470"/>
      <c r="K1" s="470"/>
      <c r="L1" s="471"/>
      <c r="M1" s="477" t="s">
        <v>1065</v>
      </c>
      <c r="N1" s="478"/>
      <c r="O1" s="479"/>
    </row>
    <row r="2" spans="1:15" s="44" customFormat="1" ht="12.75" customHeight="1" x14ac:dyDescent="0.2">
      <c r="A2" s="464" t="s">
        <v>1109</v>
      </c>
      <c r="B2" s="465"/>
      <c r="C2" s="465"/>
      <c r="D2" s="465"/>
      <c r="E2" s="465"/>
      <c r="F2" s="465"/>
      <c r="G2" s="465"/>
      <c r="H2" s="465"/>
      <c r="I2" s="465"/>
      <c r="J2" s="465"/>
      <c r="K2" s="465"/>
      <c r="L2" s="466"/>
      <c r="M2" s="451" t="s">
        <v>1110</v>
      </c>
      <c r="N2" s="452"/>
      <c r="O2" s="453"/>
    </row>
    <row r="3" spans="1:15" s="44" customFormat="1" x14ac:dyDescent="0.2">
      <c r="A3" s="464"/>
      <c r="B3" s="465"/>
      <c r="C3" s="465"/>
      <c r="D3" s="465"/>
      <c r="E3" s="465"/>
      <c r="F3" s="465"/>
      <c r="G3" s="465"/>
      <c r="H3" s="465"/>
      <c r="I3" s="465"/>
      <c r="J3" s="465"/>
      <c r="K3" s="465"/>
      <c r="L3" s="466"/>
      <c r="M3" s="451"/>
      <c r="N3" s="452"/>
      <c r="O3" s="453"/>
    </row>
    <row r="4" spans="1:15" s="44" customFormat="1" x14ac:dyDescent="0.2">
      <c r="A4" s="464"/>
      <c r="B4" s="465"/>
      <c r="C4" s="465"/>
      <c r="D4" s="465"/>
      <c r="E4" s="465"/>
      <c r="F4" s="465"/>
      <c r="G4" s="465"/>
      <c r="H4" s="465"/>
      <c r="I4" s="465"/>
      <c r="J4" s="465"/>
      <c r="K4" s="465"/>
      <c r="L4" s="466"/>
      <c r="M4" s="451"/>
      <c r="N4" s="452"/>
      <c r="O4" s="453"/>
    </row>
    <row r="5" spans="1:15" s="44" customFormat="1" x14ac:dyDescent="0.2">
      <c r="A5" s="464"/>
      <c r="B5" s="465"/>
      <c r="C5" s="465"/>
      <c r="D5" s="465"/>
      <c r="E5" s="465"/>
      <c r="F5" s="465"/>
      <c r="G5" s="465"/>
      <c r="H5" s="465"/>
      <c r="I5" s="465"/>
      <c r="J5" s="465"/>
      <c r="K5" s="465"/>
      <c r="L5" s="466"/>
      <c r="M5" s="451"/>
      <c r="N5" s="452"/>
      <c r="O5" s="453"/>
    </row>
    <row r="6" spans="1:15" s="44" customFormat="1" x14ac:dyDescent="0.2">
      <c r="A6" s="464"/>
      <c r="B6" s="465"/>
      <c r="C6" s="465"/>
      <c r="D6" s="465"/>
      <c r="E6" s="465"/>
      <c r="F6" s="465"/>
      <c r="G6" s="465"/>
      <c r="H6" s="465"/>
      <c r="I6" s="465"/>
      <c r="J6" s="465"/>
      <c r="K6" s="465"/>
      <c r="L6" s="466"/>
      <c r="M6" s="451"/>
      <c r="N6" s="452"/>
      <c r="O6" s="453"/>
    </row>
    <row r="7" spans="1:15" s="44" customFormat="1" ht="13.5" thickBot="1" x14ac:dyDescent="0.25">
      <c r="A7" s="467"/>
      <c r="B7" s="468"/>
      <c r="C7" s="468"/>
      <c r="D7" s="468"/>
      <c r="E7" s="468"/>
      <c r="F7" s="468"/>
      <c r="G7" s="468"/>
      <c r="H7" s="468"/>
      <c r="I7" s="468"/>
      <c r="J7" s="468"/>
      <c r="K7" s="468"/>
      <c r="L7" s="469"/>
      <c r="M7" s="451"/>
      <c r="N7" s="452"/>
      <c r="O7" s="453"/>
    </row>
    <row r="8" spans="1:15" s="44" customFormat="1" ht="15.75" x14ac:dyDescent="0.2">
      <c r="A8" s="472" t="s">
        <v>456</v>
      </c>
      <c r="B8" s="473"/>
      <c r="C8" s="473"/>
      <c r="D8" s="473"/>
      <c r="E8" s="473"/>
      <c r="F8" s="473"/>
      <c r="G8" s="473"/>
      <c r="H8" s="473"/>
      <c r="I8" s="474"/>
      <c r="J8" s="480" t="s">
        <v>1113</v>
      </c>
      <c r="K8" s="481"/>
      <c r="L8" s="482"/>
      <c r="M8" s="454"/>
      <c r="N8" s="455"/>
      <c r="O8" s="456"/>
    </row>
    <row r="9" spans="1:15" s="44" customFormat="1" ht="12.75" customHeight="1" x14ac:dyDescent="0.2">
      <c r="A9" s="475" t="s">
        <v>1064</v>
      </c>
      <c r="B9" s="476"/>
      <c r="C9" s="476"/>
      <c r="D9" s="476"/>
      <c r="E9" s="476"/>
      <c r="F9" s="476"/>
      <c r="G9" s="476"/>
      <c r="H9" s="476"/>
      <c r="I9" s="476"/>
      <c r="J9" s="483"/>
      <c r="K9" s="484"/>
      <c r="L9" s="485"/>
      <c r="M9" s="454"/>
      <c r="N9" s="455"/>
      <c r="O9" s="456"/>
    </row>
    <row r="10" spans="1:15" s="44" customFormat="1" ht="12.75" customHeight="1" x14ac:dyDescent="0.2">
      <c r="A10" s="475"/>
      <c r="B10" s="476"/>
      <c r="C10" s="476"/>
      <c r="D10" s="476"/>
      <c r="E10" s="476"/>
      <c r="F10" s="476"/>
      <c r="G10" s="476"/>
      <c r="H10" s="476"/>
      <c r="I10" s="476"/>
      <c r="J10" s="483"/>
      <c r="K10" s="484"/>
      <c r="L10" s="485"/>
      <c r="M10" s="454"/>
      <c r="N10" s="455"/>
      <c r="O10" s="456"/>
    </row>
    <row r="11" spans="1:15" s="44" customFormat="1" ht="12.75" customHeight="1" x14ac:dyDescent="0.2">
      <c r="A11" s="475"/>
      <c r="B11" s="476"/>
      <c r="C11" s="476"/>
      <c r="D11" s="476"/>
      <c r="E11" s="476"/>
      <c r="F11" s="476"/>
      <c r="G11" s="476"/>
      <c r="H11" s="476"/>
      <c r="I11" s="476"/>
      <c r="J11" s="483"/>
      <c r="K11" s="484"/>
      <c r="L11" s="485"/>
      <c r="M11" s="454"/>
      <c r="N11" s="455"/>
      <c r="O11" s="456"/>
    </row>
    <row r="12" spans="1:15" s="44" customFormat="1" ht="28.5" customHeight="1" thickBot="1" x14ac:dyDescent="0.25">
      <c r="A12" s="475"/>
      <c r="B12" s="476"/>
      <c r="C12" s="476"/>
      <c r="D12" s="476"/>
      <c r="E12" s="476"/>
      <c r="F12" s="476"/>
      <c r="G12" s="476"/>
      <c r="H12" s="476"/>
      <c r="I12" s="476"/>
      <c r="J12" s="486"/>
      <c r="K12" s="487"/>
      <c r="L12" s="488"/>
      <c r="M12" s="457"/>
      <c r="N12" s="458"/>
      <c r="O12" s="459"/>
    </row>
    <row r="13" spans="1:15" s="44" customFormat="1" ht="25.5" customHeight="1" thickBot="1" x14ac:dyDescent="0.25">
      <c r="A13" s="460" t="s">
        <v>262</v>
      </c>
      <c r="B13" s="461"/>
      <c r="C13" s="462"/>
      <c r="D13" s="462"/>
      <c r="E13" s="462"/>
      <c r="F13" s="462"/>
      <c r="G13" s="462"/>
      <c r="H13" s="462"/>
      <c r="I13" s="462"/>
      <c r="J13" s="462"/>
      <c r="K13" s="462"/>
      <c r="L13" s="462"/>
      <c r="M13" s="462"/>
      <c r="N13" s="462"/>
      <c r="O13" s="462"/>
    </row>
    <row r="14" spans="1:15" s="52" customFormat="1" ht="12.75" customHeight="1" x14ac:dyDescent="0.2">
      <c r="A14" s="45" t="s">
        <v>28</v>
      </c>
      <c r="B14" s="133" t="s">
        <v>89</v>
      </c>
      <c r="C14" s="46"/>
      <c r="D14" s="47" t="s">
        <v>328</v>
      </c>
      <c r="E14" s="47" t="s">
        <v>791</v>
      </c>
      <c r="F14" s="44"/>
      <c r="G14" s="44"/>
      <c r="H14" s="47" t="s">
        <v>494</v>
      </c>
      <c r="I14" s="48" t="s">
        <v>212</v>
      </c>
      <c r="J14" s="49"/>
      <c r="K14" s="50"/>
      <c r="L14" s="44"/>
      <c r="M14" s="44"/>
      <c r="N14" s="44"/>
      <c r="O14" s="51"/>
    </row>
    <row r="15" spans="1:15" s="44" customFormat="1" ht="12.75" customHeight="1" x14ac:dyDescent="0.2">
      <c r="A15" s="45" t="s">
        <v>454</v>
      </c>
      <c r="B15" s="134">
        <v>44871</v>
      </c>
      <c r="D15" s="45" t="s">
        <v>329</v>
      </c>
      <c r="E15" s="53">
        <f>B15+(1+B16-1)/24+B18-0/24</f>
        <v>44871</v>
      </c>
      <c r="H15" s="45" t="s">
        <v>169</v>
      </c>
      <c r="I15" s="54">
        <f>INDEX(TblRaces[[Max population]:[Explore Cost]],MATCH(race,TblRaces[Race],0),MATCH(Table4[[#This Row],[Race Bonuses]],TblRaces[[#Headers],[Max population]:[Explore Cost]],0))</f>
        <v>0</v>
      </c>
      <c r="K15" s="50" t="s">
        <v>433</v>
      </c>
      <c r="O15" s="51"/>
    </row>
    <row r="16" spans="1:15" s="44" customFormat="1" ht="12.75" customHeight="1" thickBot="1" x14ac:dyDescent="0.25">
      <c r="A16" s="45" t="s">
        <v>325</v>
      </c>
      <c r="B16" s="135">
        <v>0</v>
      </c>
      <c r="C16" s="44" t="s">
        <v>534</v>
      </c>
      <c r="D16" s="45" t="s">
        <v>322</v>
      </c>
      <c r="E16" s="53">
        <f ca="1">NOW()</f>
        <v>44868.817887847224</v>
      </c>
      <c r="H16" s="45" t="s">
        <v>105</v>
      </c>
      <c r="I16" s="54">
        <f>INDEX(TblRaces[[Max population]:[Explore Cost]],MATCH(race,TblRaces[Race],0),MATCH(Table4[[#This Row],[Race Bonuses]],TblRaces[[#Headers],[Max population]:[Explore Cost]],0))</f>
        <v>0</v>
      </c>
      <c r="K16" s="463" t="s">
        <v>458</v>
      </c>
      <c r="L16" s="448"/>
      <c r="M16" s="448"/>
      <c r="N16" s="448"/>
      <c r="O16" s="51"/>
    </row>
    <row r="17" spans="1:15" s="44" customFormat="1" ht="12.75" customHeight="1" thickBot="1" x14ac:dyDescent="0.25">
      <c r="A17" s="45" t="s">
        <v>326</v>
      </c>
      <c r="B17" s="55">
        <f ca="1">TODAY()</f>
        <v>44868</v>
      </c>
      <c r="C17" s="56"/>
      <c r="D17" s="45" t="s">
        <v>321</v>
      </c>
      <c r="E17" s="57">
        <f>0+Log!P16</f>
        <v>0</v>
      </c>
      <c r="F17" s="58"/>
      <c r="G17" s="58"/>
      <c r="H17" s="45" t="s">
        <v>166</v>
      </c>
      <c r="I17" s="54">
        <f>INDEX(TblRaces[[Max population]:[Explore Cost]],MATCH(race,TblRaces[Race],0),MATCH(Table4[[#This Row],[Race Bonuses]],TblRaces[[#Headers],[Max population]:[Explore Cost]],0))</f>
        <v>0</v>
      </c>
      <c r="J17" s="49"/>
      <c r="K17" s="448"/>
      <c r="L17" s="448"/>
      <c r="M17" s="448"/>
      <c r="N17" s="448"/>
      <c r="O17" s="51"/>
    </row>
    <row r="18" spans="1:15" s="44" customFormat="1" ht="12.75" customHeight="1" thickBot="1" x14ac:dyDescent="0.25">
      <c r="A18" s="59" t="s">
        <v>508</v>
      </c>
      <c r="B18" s="136">
        <v>0</v>
      </c>
      <c r="C18" s="56"/>
      <c r="D18" s="45" t="s">
        <v>323</v>
      </c>
      <c r="E18" s="57" t="e">
        <f ca="1">IF(INDIRECT("Imps!L"&amp;TEXT(E17+3,0)),"Yes","Nope")</f>
        <v>#VALUE!</v>
      </c>
      <c r="H18" s="45" t="s">
        <v>107</v>
      </c>
      <c r="I18" s="54">
        <f>INDEX(TblRaces[[Max population]:[Explore Cost]],MATCH(race,TblRaces[Race],0),MATCH(Table4[[#This Row],[Race Bonuses]],TblRaces[[#Headers],[Max population]:[Explore Cost]],0))</f>
        <v>0.05</v>
      </c>
      <c r="J18" s="49"/>
      <c r="K18" s="448"/>
      <c r="L18" s="448"/>
      <c r="M18" s="448"/>
      <c r="N18" s="448"/>
      <c r="O18" s="51"/>
    </row>
    <row r="19" spans="1:15" s="44" customFormat="1" x14ac:dyDescent="0.2">
      <c r="H19" s="45" t="s">
        <v>108</v>
      </c>
      <c r="I19" s="54">
        <f>INDEX(TblRaces[[Max population]:[Explore Cost]],MATCH(race,TblRaces[Race],0),MATCH(Table4[[#This Row],[Race Bonuses]],TblRaces[[#Headers],[Max population]:[Explore Cost]],0))</f>
        <v>0</v>
      </c>
      <c r="J19" s="49"/>
      <c r="K19" s="448"/>
      <c r="L19" s="448"/>
      <c r="M19" s="448"/>
      <c r="N19" s="448"/>
      <c r="O19" s="60"/>
    </row>
    <row r="20" spans="1:15" s="44" customFormat="1" x14ac:dyDescent="0.2">
      <c r="H20" s="45" t="s">
        <v>109</v>
      </c>
      <c r="I20" s="54">
        <f>INDEX(TblRaces[[Max population]:[Explore Cost]],MATCH(race,TblRaces[Race],0),MATCH(Table4[[#This Row],[Race Bonuses]],TblRaces[[#Headers],[Max population]:[Explore Cost]],0))</f>
        <v>0</v>
      </c>
      <c r="J20" s="49"/>
      <c r="K20" s="448"/>
      <c r="L20" s="448"/>
      <c r="M20" s="448"/>
      <c r="N20" s="448"/>
      <c r="O20" s="60"/>
    </row>
    <row r="21" spans="1:15" s="44" customFormat="1" x14ac:dyDescent="0.2">
      <c r="A21" s="5" t="s">
        <v>324</v>
      </c>
      <c r="B21" s="61" t="s">
        <v>31</v>
      </c>
      <c r="C21" s="61" t="s">
        <v>32</v>
      </c>
      <c r="D21" s="61" t="s">
        <v>2</v>
      </c>
      <c r="E21" s="61" t="s">
        <v>3</v>
      </c>
      <c r="F21" s="61" t="s">
        <v>236</v>
      </c>
      <c r="H21" s="45" t="s">
        <v>110</v>
      </c>
      <c r="I21" s="54">
        <f>INDEX(TblRaces[[Max population]:[Explore Cost]],MATCH(race,TblRaces[Race],0),MATCH(Table4[[#This Row],[Race Bonuses]],TblRaces[[#Headers],[Max population]:[Explore Cost]],0))</f>
        <v>0</v>
      </c>
      <c r="J21" s="49"/>
      <c r="K21" s="448"/>
      <c r="L21" s="448"/>
      <c r="M21" s="448"/>
      <c r="N21" s="448"/>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3"/>
      <c r="L23" s="463"/>
      <c r="M23" s="463"/>
      <c r="N23" s="463"/>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3"/>
      <c r="L24" s="463"/>
      <c r="M24" s="463"/>
      <c r="N24" s="463"/>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1200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3"/>
      <c r="L25" s="463"/>
      <c r="M25" s="463"/>
      <c r="N25" s="463"/>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167</v>
      </c>
      <c r="I26" s="54">
        <f>INDEX(TblRaces[[Max population]:[Explore Cost]],MATCH(race,TblRaces[Race],0),MATCH(Table4[[#This Row],[Race Bonuses]],TblRaces[[#Headers],[Max population]:[Explore Cost]],0))</f>
        <v>0</v>
      </c>
      <c r="K26" s="463"/>
      <c r="L26" s="463"/>
      <c r="M26" s="463"/>
      <c r="N26" s="463"/>
      <c r="O26" s="60"/>
    </row>
    <row r="27" spans="1:15" s="44" customFormat="1" x14ac:dyDescent="0.2">
      <c r="A27" s="442" t="s">
        <v>1121</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168</v>
      </c>
      <c r="I27" s="54">
        <f>INDEX(TblRaces[[Max population]:[Explore Cost]],MATCH(race,TblRaces[Race],0),MATCH(Table4[[#This Row],[Race Bonuses]],TblRaces[[#Headers],[Max population]:[Explore Cost]],0))</f>
        <v>0</v>
      </c>
      <c r="K27" s="463"/>
      <c r="L27" s="463"/>
      <c r="M27" s="463"/>
      <c r="N27" s="463"/>
      <c r="O27" s="60"/>
    </row>
    <row r="28" spans="1:15" s="44" customFormat="1" x14ac:dyDescent="0.2">
      <c r="A28" s="63" t="s">
        <v>187</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445</v>
      </c>
      <c r="I28" s="54">
        <f>INDEX(TblRaces[[Max population]:[Explore Cost]],MATCH(race,TblRaces[Race],0),MATCH(Table4[[#This Row],[Race Bonuses]],TblRaces[[#Headers],[Max population]:[Explore Cost]],0))</f>
        <v>0</v>
      </c>
      <c r="O28" s="60"/>
    </row>
    <row r="29" spans="1:15" s="44" customFormat="1" x14ac:dyDescent="0.2">
      <c r="A29" s="63" t="s">
        <v>188</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495</v>
      </c>
      <c r="I29" s="54">
        <f>INDEX(TblRaces[[Max population]:[Explore Cost]],MATCH(race,TblRaces[Race],0),MATCH(Table4[[#This Row],[Race Bonuses]],TblRaces[[#Headers],[Max population]:[Explore Cost]],0))</f>
        <v>0</v>
      </c>
      <c r="O29" s="60"/>
    </row>
    <row r="30" spans="1:15" s="44" customFormat="1" x14ac:dyDescent="0.2">
      <c r="A30" s="66" t="s">
        <v>1103</v>
      </c>
      <c r="D30" s="67"/>
      <c r="E30" s="68"/>
      <c r="G30" s="51"/>
      <c r="H30" s="45" t="s">
        <v>496</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533</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1095</v>
      </c>
      <c r="I32" s="438">
        <f>INDEX(TblRaces[[Max population]:[Explore Cost]],MATCH(race,TblRaces[Race],0),MATCH(Table4[[#This Row],[Race Bonuses]],TblRaces[[#Headers],[Max population]:[Explore Cost]],0))</f>
        <v>0</v>
      </c>
      <c r="J32" s="70"/>
      <c r="O32" s="75"/>
    </row>
    <row r="33" spans="1:15" s="76" customFormat="1" ht="29.25" customHeight="1" x14ac:dyDescent="0.2">
      <c r="A33" s="447" t="s">
        <v>383</v>
      </c>
      <c r="B33" s="448"/>
      <c r="C33" s="448"/>
      <c r="D33" s="448"/>
      <c r="E33" s="448"/>
      <c r="F33" s="448"/>
      <c r="G33" s="448"/>
      <c r="H33" s="448"/>
      <c r="I33" s="448"/>
      <c r="J33" s="449"/>
      <c r="K33" s="450"/>
      <c r="L33" s="450"/>
      <c r="M33" s="450"/>
      <c r="N33" s="450"/>
      <c r="O33" s="450"/>
    </row>
    <row r="34" spans="1:15" x14ac:dyDescent="0.2">
      <c r="A34" s="5" t="s">
        <v>22</v>
      </c>
      <c r="B34" s="45" t="s">
        <v>360</v>
      </c>
      <c r="C34" s="77" t="s">
        <v>31</v>
      </c>
      <c r="D34" s="78" t="s">
        <v>212</v>
      </c>
      <c r="E34" s="79" t="s">
        <v>1036</v>
      </c>
      <c r="F34" s="77" t="s">
        <v>32</v>
      </c>
      <c r="G34" s="78" t="s">
        <v>1034</v>
      </c>
      <c r="H34" s="78" t="s">
        <v>1035</v>
      </c>
      <c r="I34" s="80" t="s">
        <v>791</v>
      </c>
      <c r="J34" s="44"/>
      <c r="K34" s="44"/>
      <c r="L34" s="44"/>
      <c r="M34" s="44"/>
      <c r="N34" s="44"/>
      <c r="O34" s="81"/>
    </row>
    <row r="35" spans="1:15" x14ac:dyDescent="0.2">
      <c r="A35" s="82" t="s">
        <v>34</v>
      </c>
      <c r="B35" s="83" t="s">
        <v>222</v>
      </c>
      <c r="C35" s="84" t="s">
        <v>194</v>
      </c>
      <c r="D35" s="85" t="s">
        <v>212</v>
      </c>
      <c r="E35" s="83" t="s">
        <v>233</v>
      </c>
      <c r="F35" s="85" t="s">
        <v>194</v>
      </c>
      <c r="G35" s="85" t="s">
        <v>212</v>
      </c>
      <c r="H35" s="85" t="s">
        <v>233</v>
      </c>
      <c r="I35" s="86" t="s">
        <v>34</v>
      </c>
      <c r="J35" s="44"/>
      <c r="K35" s="50" t="s">
        <v>434</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2" t="s">
        <v>435</v>
      </c>
      <c r="L36" s="493"/>
      <c r="M36" s="493"/>
      <c r="N36" s="493"/>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3"/>
      <c r="L37" s="493"/>
      <c r="M37" s="493"/>
      <c r="N37" s="493"/>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3"/>
      <c r="L38" s="493"/>
      <c r="M38" s="493"/>
      <c r="N38" s="493"/>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3" t="s">
        <v>455</v>
      </c>
      <c r="L39" s="494"/>
      <c r="M39" s="494"/>
      <c r="N39" s="494"/>
      <c r="O39" s="51"/>
    </row>
    <row r="40" spans="1:15" ht="13.5" thickTop="1" x14ac:dyDescent="0.2">
      <c r="A40" s="101"/>
      <c r="B40" s="88"/>
      <c r="C40" s="102">
        <f ca="1">SUM(C36:C39)</f>
        <v>0</v>
      </c>
      <c r="E40" s="103">
        <f ca="1">SUM(E36:E39)</f>
        <v>0</v>
      </c>
      <c r="F40" s="35">
        <f ca="1">SUM(F36:F39)</f>
        <v>450</v>
      </c>
      <c r="H40" s="35">
        <f ca="1">SUM(H36:H39)</f>
        <v>450</v>
      </c>
      <c r="I40" s="84"/>
      <c r="J40" s="44"/>
      <c r="K40" s="494"/>
      <c r="L40" s="494"/>
      <c r="M40" s="494"/>
      <c r="N40" s="494"/>
      <c r="O40" s="51"/>
    </row>
    <row r="41" spans="1:15" x14ac:dyDescent="0.2">
      <c r="A41" s="104" t="s">
        <v>24</v>
      </c>
      <c r="B41" s="97">
        <f ca="1">F41</f>
        <v>626</v>
      </c>
      <c r="C41" s="104"/>
      <c r="E41" s="105"/>
      <c r="F41" s="97">
        <f ca="1">Military!AA76</f>
        <v>626</v>
      </c>
      <c r="H41" s="97">
        <f ca="1">F41*(1+$G$36)</f>
        <v>626</v>
      </c>
      <c r="I41" s="92" t="s">
        <v>426</v>
      </c>
      <c r="J41" s="44"/>
      <c r="K41" s="492" t="s">
        <v>453</v>
      </c>
      <c r="L41" s="493"/>
      <c r="M41" s="493"/>
      <c r="N41" s="493"/>
      <c r="O41" s="51"/>
    </row>
    <row r="42" spans="1:15" ht="13.5" thickBot="1" x14ac:dyDescent="0.25">
      <c r="A42" s="104" t="s">
        <v>425</v>
      </c>
      <c r="B42" s="45">
        <f ca="1">E54</f>
        <v>0</v>
      </c>
      <c r="C42" s="104"/>
      <c r="E42" s="105"/>
      <c r="F42" s="106">
        <f ca="1">MIN(Population!C76/2,Constants!B14*20*Construction!BE76)</f>
        <v>0</v>
      </c>
      <c r="H42" s="107">
        <f ca="1">F42*(1+$G$36)</f>
        <v>0</v>
      </c>
      <c r="I42" s="92" t="s">
        <v>384</v>
      </c>
      <c r="J42" s="44"/>
      <c r="K42" s="493"/>
      <c r="L42" s="493"/>
      <c r="M42" s="493"/>
      <c r="N42" s="493"/>
      <c r="O42" s="51"/>
    </row>
    <row r="43" spans="1:15" ht="13.5" thickTop="1" x14ac:dyDescent="0.2">
      <c r="C43" s="104"/>
      <c r="E43" s="105"/>
      <c r="F43" s="35">
        <f ca="1">F41+F40+F42</f>
        <v>1076</v>
      </c>
      <c r="H43" s="103">
        <f ca="1">H41+H40+H42</f>
        <v>1076</v>
      </c>
      <c r="I43" s="92"/>
      <c r="J43" s="44"/>
      <c r="K43" s="448"/>
      <c r="L43" s="448"/>
      <c r="M43" s="448"/>
      <c r="N43" s="448"/>
      <c r="O43" s="51"/>
    </row>
    <row r="44" spans="1:15" x14ac:dyDescent="0.2">
      <c r="A44" s="44"/>
      <c r="B44" s="44"/>
      <c r="C44" s="44"/>
      <c r="D44" s="491"/>
      <c r="E44" s="491"/>
      <c r="F44" s="491"/>
      <c r="G44" s="491"/>
      <c r="H44" s="491"/>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1121</v>
      </c>
      <c r="B46" s="443">
        <f ca="1">Military!J76</f>
        <v>0</v>
      </c>
      <c r="C46" s="44"/>
      <c r="D46" s="5" t="s">
        <v>258</v>
      </c>
      <c r="E46" s="57" t="s">
        <v>360</v>
      </c>
      <c r="F46" s="45" t="s">
        <v>1037</v>
      </c>
      <c r="G46" s="44"/>
      <c r="H46" s="50" t="s">
        <v>260</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261</v>
      </c>
      <c r="I47" s="110" t="s">
        <v>194</v>
      </c>
      <c r="J47" s="57" t="s">
        <v>233</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255</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256</v>
      </c>
      <c r="I49" s="114">
        <f ca="1">F40/E47</f>
        <v>1.8</v>
      </c>
      <c r="J49" s="114">
        <f ca="1">H40/E47</f>
        <v>1.8</v>
      </c>
      <c r="K49" s="44"/>
      <c r="L49" s="44"/>
      <c r="M49" s="44"/>
      <c r="N49" s="44"/>
      <c r="O49" s="51"/>
    </row>
    <row r="50" spans="1:15" x14ac:dyDescent="0.2">
      <c r="A50" s="108" t="s">
        <v>273</v>
      </c>
      <c r="B50" s="429">
        <f ca="1">Production!N76*(boat_size + tech_6_3_3*Techs!BH76)</f>
        <v>0</v>
      </c>
      <c r="C50" s="44"/>
      <c r="D50" s="111" t="str">
        <f>Construction!BA3</f>
        <v>Tot Farm</v>
      </c>
      <c r="E50" s="45">
        <f ca="1">Construction!BA76</f>
        <v>30</v>
      </c>
      <c r="F50" s="113">
        <f ca="1">E50/$E$47</f>
        <v>0.12</v>
      </c>
      <c r="G50" s="44"/>
      <c r="H50" s="45" t="s">
        <v>257</v>
      </c>
      <c r="I50" s="114">
        <f ca="1">(B45 + B46*2 + B38*D90*E90 + B38*D91*E91)/E47</f>
        <v>0.1</v>
      </c>
      <c r="J50" s="114">
        <f ca="1">I50*(1+I26)</f>
        <v>0.1</v>
      </c>
      <c r="K50" s="44"/>
      <c r="L50" s="44"/>
      <c r="M50" s="44"/>
      <c r="N50" s="44"/>
      <c r="O50" s="51"/>
    </row>
    <row r="51" spans="1:15" x14ac:dyDescent="0.2">
      <c r="A51" s="115" t="s">
        <v>382</v>
      </c>
      <c r="B51" s="430">
        <f>SUM(Imps!M4:'Imps'!M76)</f>
        <v>0</v>
      </c>
      <c r="C51" s="44"/>
      <c r="D51" s="111" t="str">
        <f>Construction!BB3</f>
        <v>Tot Smi</v>
      </c>
      <c r="E51" s="45">
        <f ca="1">Construction!BB76</f>
        <v>0</v>
      </c>
      <c r="F51" s="113">
        <f t="shared" ref="F51:F66" ca="1" si="0">E51/$E$47</f>
        <v>0</v>
      </c>
      <c r="G51" s="44"/>
      <c r="H51" s="45" t="s">
        <v>259</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222</v>
      </c>
      <c r="J54" s="45" t="s">
        <v>390</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357313</v>
      </c>
      <c r="J55" s="62">
        <f ca="1">Production!H64+SUM(Military!AR4:AR64)</f>
        <v>357313</v>
      </c>
      <c r="K55" s="44"/>
      <c r="L55" s="44"/>
      <c r="M55" s="44"/>
      <c r="N55" s="44"/>
      <c r="O55" s="51"/>
    </row>
    <row r="56" spans="1:15" x14ac:dyDescent="0.2">
      <c r="A56" s="117" t="s">
        <v>236</v>
      </c>
      <c r="B56" s="427">
        <f ca="1">Production!G76</f>
        <v>6450</v>
      </c>
      <c r="C56" s="44"/>
      <c r="D56" s="111" t="str">
        <f>Construction!BG3</f>
        <v>Tot GN</v>
      </c>
      <c r="E56" s="45">
        <f ca="1">Construction!BG76</f>
        <v>0</v>
      </c>
      <c r="F56" s="113">
        <f t="shared" ca="1" si="0"/>
        <v>0</v>
      </c>
      <c r="G56" s="44"/>
      <c r="H56" s="119">
        <v>64</v>
      </c>
      <c r="I56" s="62">
        <f ca="1">Production!H67</f>
        <v>373771</v>
      </c>
      <c r="J56" s="62">
        <f ca="1">Production!H67+SUM(Military!AR5:AR67)</f>
        <v>373771</v>
      </c>
      <c r="K56" s="120"/>
      <c r="L56" s="44"/>
      <c r="M56" s="44"/>
      <c r="N56" s="44"/>
      <c r="O56" s="51"/>
    </row>
    <row r="57" spans="1:15" x14ac:dyDescent="0.2">
      <c r="A57" s="118" t="s">
        <v>272</v>
      </c>
      <c r="B57" s="428">
        <f ca="1">H40</f>
        <v>450</v>
      </c>
      <c r="C57" s="44"/>
      <c r="D57" s="111" t="str">
        <f>Construction!BJ3</f>
        <v>Tot Bar</v>
      </c>
      <c r="E57" s="45">
        <f ca="1">Construction!BJ76</f>
        <v>0</v>
      </c>
      <c r="F57" s="113">
        <f t="shared" ca="1" si="0"/>
        <v>0</v>
      </c>
      <c r="G57" s="44"/>
      <c r="H57" s="119" t="s">
        <v>235</v>
      </c>
      <c r="I57" s="62">
        <f ca="1">Production!H76</f>
        <v>404403</v>
      </c>
      <c r="J57" s="62">
        <f ca="1">Production!H76+SUM(Military!AR4:AR76)</f>
        <v>404403</v>
      </c>
      <c r="K57" s="120"/>
      <c r="L57" s="44"/>
      <c r="M57" s="44"/>
      <c r="N57" s="44"/>
      <c r="O57" s="51"/>
    </row>
    <row r="58" spans="1:15" x14ac:dyDescent="0.2">
      <c r="A58" s="117" t="s">
        <v>271</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282</v>
      </c>
      <c r="I59" s="44"/>
      <c r="J59" s="44"/>
      <c r="K59" s="44"/>
      <c r="L59" s="44"/>
      <c r="M59" s="44"/>
      <c r="N59" s="44"/>
      <c r="O59" s="51"/>
    </row>
    <row r="60" spans="1:15" x14ac:dyDescent="0.2">
      <c r="A60" s="117" t="s">
        <v>2</v>
      </c>
      <c r="B60" s="427">
        <f ca="1">Production!H$76</f>
        <v>404403</v>
      </c>
      <c r="C60" s="44"/>
      <c r="D60" s="111" t="str">
        <f>Construction!BK3</f>
        <v>Tot Shr</v>
      </c>
      <c r="E60" s="45">
        <f ca="1">Construction!BK76</f>
        <v>0</v>
      </c>
      <c r="F60" s="113">
        <f t="shared" ca="1" si="0"/>
        <v>0</v>
      </c>
      <c r="G60" s="44"/>
      <c r="H60" s="45" t="s">
        <v>283</v>
      </c>
      <c r="I60" s="95" t="s">
        <v>222</v>
      </c>
      <c r="J60" s="121" t="s">
        <v>389</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284</v>
      </c>
      <c r="I61" s="97">
        <f ca="1">SUM(Construction!AQ4:AQ76)</f>
        <v>91467</v>
      </c>
      <c r="J61" s="121">
        <f ca="1">IFERROR(Table18[[#This Row],[Amount]]/Table18[[#Totals],[Amount]],0)</f>
        <v>1</v>
      </c>
      <c r="K61" s="44"/>
      <c r="L61" s="44"/>
      <c r="M61" s="44"/>
      <c r="N61" s="44"/>
      <c r="O61" s="51"/>
    </row>
    <row r="62" spans="1:15" x14ac:dyDescent="0.2">
      <c r="A62" s="117" t="s">
        <v>7</v>
      </c>
      <c r="B62" s="427">
        <f ca="1">Production!J$76</f>
        <v>46389</v>
      </c>
      <c r="C62" s="44"/>
      <c r="D62" s="111" t="str">
        <f>Construction!BM3</f>
        <v>Tot Tem</v>
      </c>
      <c r="E62" s="45">
        <f ca="1">Construction!BM76</f>
        <v>0</v>
      </c>
      <c r="F62" s="113">
        <f t="shared" ca="1" si="0"/>
        <v>0</v>
      </c>
      <c r="G62" s="44"/>
      <c r="H62" s="45" t="s">
        <v>285</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196</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286</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192</v>
      </c>
      <c r="I66" s="97">
        <f ca="1">SUBTOTAL(109,Table18[Amount])</f>
        <v>91467</v>
      </c>
      <c r="J66" s="342">
        <f>1</f>
        <v>1</v>
      </c>
      <c r="K66" s="44"/>
      <c r="L66" s="44"/>
      <c r="M66" s="44"/>
      <c r="N66" s="44"/>
      <c r="O66" s="51"/>
    </row>
    <row r="67" spans="1:15" x14ac:dyDescent="0.2">
      <c r="A67" s="118" t="s">
        <v>280</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281</v>
      </c>
      <c r="B68" s="427">
        <f>Construction!D76</f>
        <v>0</v>
      </c>
      <c r="C68" s="44"/>
      <c r="D68" s="5" t="s">
        <v>364</v>
      </c>
      <c r="E68" s="35">
        <f ca="1">E47-SUM(E48:E66)-B68</f>
        <v>160</v>
      </c>
      <c r="F68" s="126">
        <f ca="1">E68/E47</f>
        <v>0.64</v>
      </c>
      <c r="G68" s="44"/>
      <c r="H68" s="44"/>
      <c r="I68" s="44"/>
      <c r="J68" s="44"/>
      <c r="K68" s="44"/>
      <c r="L68" s="44"/>
      <c r="M68" s="44"/>
      <c r="N68" s="44"/>
      <c r="O68" s="51"/>
    </row>
    <row r="69" spans="1:15" x14ac:dyDescent="0.2">
      <c r="A69" s="124" t="s">
        <v>386</v>
      </c>
      <c r="B69" s="125" t="str">
        <f>VLOOKUP($B$14,Races!$A$4:$B$112,2,FALSE)</f>
        <v>Good</v>
      </c>
      <c r="C69" s="44"/>
      <c r="D69" s="5" t="s">
        <v>365</v>
      </c>
      <c r="E69" s="35">
        <f>B68</f>
        <v>0</v>
      </c>
      <c r="F69" s="5">
        <f ca="1">E69/E47</f>
        <v>0</v>
      </c>
      <c r="G69" s="44"/>
      <c r="H69" s="44"/>
      <c r="I69" s="44"/>
      <c r="J69" s="44"/>
      <c r="K69" s="44"/>
      <c r="L69" s="44"/>
      <c r="M69" s="44"/>
      <c r="N69" s="44"/>
      <c r="O69" s="51"/>
    </row>
    <row r="70" spans="1:15" x14ac:dyDescent="0.2">
      <c r="A70" s="124" t="s">
        <v>385</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89" t="s">
        <v>293</v>
      </c>
      <c r="B73" s="490"/>
      <c r="C73" s="127"/>
      <c r="D73" s="127"/>
      <c r="E73" s="127"/>
    </row>
    <row r="74" spans="1:15" x14ac:dyDescent="0.2">
      <c r="A74" s="128" t="s">
        <v>294</v>
      </c>
      <c r="B74" s="129"/>
      <c r="C74" s="127"/>
      <c r="D74" s="127"/>
      <c r="E74" s="129"/>
    </row>
    <row r="75" spans="1:15" x14ac:dyDescent="0.2">
      <c r="A75" s="130" t="s">
        <v>296</v>
      </c>
      <c r="B75" s="130" t="s">
        <v>297</v>
      </c>
      <c r="C75" s="130" t="s">
        <v>299</v>
      </c>
      <c r="D75" s="130" t="s">
        <v>298</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141</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149</v>
      </c>
      <c r="C80" s="131">
        <f ca="1">MIN(Constants!F120,F63/Constants!C120)</f>
        <v>0</v>
      </c>
      <c r="D80" s="131">
        <f ca="1">MIN(Constants!F121,F63/Constants!C121)</f>
        <v>0</v>
      </c>
      <c r="E80" s="127" t="b">
        <f>$B$14=A80</f>
        <v>0</v>
      </c>
    </row>
    <row r="81" spans="1:5" x14ac:dyDescent="0.2">
      <c r="A81" s="127" t="s">
        <v>335</v>
      </c>
      <c r="B81" s="127" t="s">
        <v>338</v>
      </c>
      <c r="C81" s="127"/>
      <c r="D81" s="131">
        <f ca="1">MIN(Constants!F122,F67/Constants!C122)</f>
        <v>2.1999999999999997</v>
      </c>
      <c r="E81" s="127" t="b">
        <f>$B$14=A81</f>
        <v>0</v>
      </c>
    </row>
    <row r="82" spans="1:5" x14ac:dyDescent="0.2">
      <c r="A82" s="127"/>
      <c r="B82" s="127" t="s">
        <v>339</v>
      </c>
      <c r="C82" s="127">
        <f ca="1">MIN(Constants!F123,I51*Constants!C123)</f>
        <v>0.1</v>
      </c>
      <c r="D82" s="127"/>
      <c r="E82" s="127"/>
    </row>
    <row r="83" spans="1:5" x14ac:dyDescent="0.2">
      <c r="A83" s="127" t="s">
        <v>145</v>
      </c>
      <c r="B83" s="127" t="s">
        <v>381</v>
      </c>
      <c r="C83" s="127"/>
      <c r="D83" s="131">
        <f>MIN(Constants!F124,250/Constants!C124)</f>
        <v>0</v>
      </c>
      <c r="E83" s="127" t="b">
        <f>$B$14=A83</f>
        <v>0</v>
      </c>
    </row>
    <row r="84" spans="1:5" x14ac:dyDescent="0.2">
      <c r="A84" s="127" t="s">
        <v>145</v>
      </c>
      <c r="B84" s="127" t="s">
        <v>363</v>
      </c>
      <c r="C84" s="132">
        <f>MIN(bone_breaker_cap,250/bone_breaker_bonus)</f>
        <v>1</v>
      </c>
      <c r="E84" s="127" t="b">
        <f>$B$14=A84</f>
        <v>0</v>
      </c>
    </row>
    <row r="85" spans="1:5" x14ac:dyDescent="0.2">
      <c r="A85" s="127" t="s">
        <v>507</v>
      </c>
      <c r="B85" s="127" t="s">
        <v>430</v>
      </c>
      <c r="C85" s="127"/>
      <c r="D85" s="131">
        <f ca="1">MIN(nox_nightshade_cap,E67/E47/nox_nightshade_swamp_bonus)</f>
        <v>3</v>
      </c>
      <c r="E85" s="127" t="b">
        <f>$B$14=A85</f>
        <v>0</v>
      </c>
    </row>
    <row r="86" spans="1:5" x14ac:dyDescent="0.2">
      <c r="A86" s="127"/>
      <c r="B86" s="127"/>
      <c r="C86" s="127"/>
      <c r="D86" s="131"/>
      <c r="E86" s="127"/>
    </row>
    <row r="87" spans="1:5" x14ac:dyDescent="0.2">
      <c r="A87" s="128" t="s">
        <v>295</v>
      </c>
      <c r="B87" s="127"/>
      <c r="C87" s="127"/>
      <c r="D87" s="127"/>
      <c r="E87" s="127"/>
    </row>
    <row r="88" spans="1:5" x14ac:dyDescent="0.2">
      <c r="A88" s="127" t="s">
        <v>103</v>
      </c>
      <c r="B88" s="127" t="s">
        <v>333</v>
      </c>
      <c r="C88" s="127"/>
      <c r="D88" s="127">
        <f ca="1">MIN(B38,B39)*2</f>
        <v>0</v>
      </c>
      <c r="E88" s="127" t="b">
        <f>$B$14=A88</f>
        <v>0</v>
      </c>
    </row>
    <row r="89" spans="1:5" x14ac:dyDescent="0.2">
      <c r="A89" s="127"/>
      <c r="B89" s="127" t="s">
        <v>334</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164</v>
      </c>
      <c r="C91" s="441">
        <v>0.2</v>
      </c>
      <c r="D91" s="441">
        <v>0.2</v>
      </c>
      <c r="E91" s="127" t="b">
        <f t="shared" si="1"/>
        <v>0</v>
      </c>
    </row>
    <row r="92" spans="1:5" x14ac:dyDescent="0.2">
      <c r="A92" s="127" t="s">
        <v>96</v>
      </c>
      <c r="B92" s="127" t="s">
        <v>141</v>
      </c>
      <c r="C92" s="441">
        <v>0.25</v>
      </c>
      <c r="D92" s="441">
        <v>0.25</v>
      </c>
      <c r="E92" s="127" t="b">
        <f t="shared" si="1"/>
        <v>0</v>
      </c>
    </row>
    <row r="93" spans="1:5" x14ac:dyDescent="0.2">
      <c r="A93" s="127" t="s">
        <v>99</v>
      </c>
      <c r="B93" s="127" t="s">
        <v>149</v>
      </c>
      <c r="C93" s="441">
        <v>0.25</v>
      </c>
      <c r="D93" s="441">
        <v>0.25</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6" t="s">
        <v>23</v>
      </c>
      <c r="D1" s="496"/>
      <c r="E1" s="496"/>
      <c r="F1" s="496"/>
      <c r="G1" s="496"/>
      <c r="H1" s="496"/>
      <c r="I1" s="496"/>
      <c r="J1" s="28"/>
      <c r="K1" s="28"/>
      <c r="L1" s="496" t="s">
        <v>22</v>
      </c>
      <c r="M1" s="496"/>
      <c r="N1" s="496"/>
      <c r="O1" s="496"/>
      <c r="P1" s="496"/>
      <c r="Q1" s="496"/>
      <c r="R1" s="496"/>
      <c r="S1" s="496"/>
      <c r="U1" s="496" t="s">
        <v>169</v>
      </c>
      <c r="V1" s="497"/>
      <c r="W1" s="496" t="s">
        <v>173</v>
      </c>
      <c r="X1" s="496"/>
      <c r="Y1" s="496"/>
      <c r="Z1" s="496"/>
      <c r="AA1" s="496" t="s">
        <v>178</v>
      </c>
      <c r="AB1" s="497"/>
      <c r="AC1" s="497"/>
      <c r="AD1" s="497"/>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316</v>
      </c>
      <c r="C3" s="138" t="s">
        <v>21</v>
      </c>
      <c r="D3" s="138" t="s">
        <v>22</v>
      </c>
      <c r="E3" s="138" t="s">
        <v>24</v>
      </c>
      <c r="F3" s="138" t="s">
        <v>192</v>
      </c>
      <c r="G3" s="138" t="s">
        <v>193</v>
      </c>
      <c r="H3" s="138" t="s">
        <v>230</v>
      </c>
      <c r="I3" s="138" t="s">
        <v>270</v>
      </c>
      <c r="J3" s="138" t="s">
        <v>318</v>
      </c>
      <c r="K3" s="138" t="s">
        <v>791</v>
      </c>
      <c r="L3" s="138" t="s">
        <v>1038</v>
      </c>
      <c r="M3" s="138" t="s">
        <v>787</v>
      </c>
      <c r="N3" s="138" t="s">
        <v>788</v>
      </c>
      <c r="O3" s="138" t="s">
        <v>789</v>
      </c>
      <c r="P3" s="138" t="s">
        <v>790</v>
      </c>
      <c r="Q3" s="138" t="s">
        <v>25</v>
      </c>
      <c r="R3" s="138" t="s">
        <v>26</v>
      </c>
      <c r="S3" s="138" t="s">
        <v>188</v>
      </c>
      <c r="T3" s="138" t="s">
        <v>792</v>
      </c>
      <c r="U3" s="138" t="s">
        <v>232</v>
      </c>
      <c r="V3" s="138" t="s">
        <v>180</v>
      </c>
      <c r="W3" s="138" t="s">
        <v>179</v>
      </c>
      <c r="X3" s="138" t="s">
        <v>238</v>
      </c>
      <c r="Y3" s="138" t="s">
        <v>231</v>
      </c>
      <c r="Z3" s="138" t="s">
        <v>1055</v>
      </c>
      <c r="AA3" s="138" t="s">
        <v>794</v>
      </c>
      <c r="AB3" s="138" t="s">
        <v>173</v>
      </c>
      <c r="AC3" s="138" t="s">
        <v>177</v>
      </c>
    </row>
    <row r="4" spans="1:30" x14ac:dyDescent="0.2">
      <c r="A4" s="140">
        <f>TblRezone[[#This Row],[Hour]]</f>
        <v>1</v>
      </c>
      <c r="B4" s="141">
        <f>TblImps[[#This Row],[Time]]</f>
        <v>44871</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44871.041666666664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44871.083333333328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44871.124999999993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44871.166666666657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44871.208333333321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44871.249999999985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44871.29166666665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44871.333333333314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44871.374999999978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44871.416666666642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44871.458333333307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44871.499999999971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44871.541666666635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44871.583333333299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44871.624999999964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44871.666666666628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44871.708333333292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44871.749999999956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44871.791666666621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44871.833333333285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44871.874999999949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44871.916666666613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44871.958333333278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44871.999999999942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44872.041666666606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44872.08333333327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44872.124999999935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44872.166666666599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44872.208333333263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44872.249999999927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44872.291666666591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44872.333333333256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44872.37499999992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44872.416666666584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44872.458333333248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44872.499999999913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44872.541666666577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44872.583333333241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44872.624999999905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44872.66666666657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44872.708333333234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44872.749999999898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44872.791666666562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44872.833333333227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44872.874999999891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44872.916666666555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44872.958333333219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44872.999999999884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44873.041666666548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44873.083333333212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44873.124999999876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44873.166666666541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44873.208333333205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44873.249999999869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44873.291666666533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44873.333333333198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44873.374999999862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44873.416666666526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44873.45833333319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44873.499999999854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44873.541666666519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44873.583333333183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44873.624999999847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44873.666666666511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44873.708333333176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44873.74999999984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44873.791666666504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44873.833333333168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44873.874999999833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44873.916666666497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44873.958333333161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44873.999999999825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44874.04166666649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44874.083333333154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44874.124999999818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44874.166666666482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44874.208333333147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44874.249999999811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44874.291666666475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44874.333333333139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44874.374999999804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44874.416666666468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44874.458333333132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44874.499999999796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44874.541666666461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44874.583333333125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44874.624999999789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44874.666666666453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44874.708333333117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44874.749999999782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44874.791666666446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44874.83333333311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44874.874999999774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44874.916666666439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44874.958333333103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44874.999999999767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44875.041666666431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44875.083333333096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44875.12499999976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44875.166666666424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44875.208333333088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44875.249999999753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44875.291666666417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44875.333333333081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44875.374999999745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44875.41666666641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44875.458333333074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44875.499999999738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44875.541666666402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44875.583333333067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44875.624999999731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44875.666666666395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44875.708333333059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44875.749999999724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44875.791666666388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44875.833333333052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44875.874999999716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44875.91666666638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44875.958333333045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44875.999999999709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44876.041666666373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44876.083333333037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44876.124999999702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44876.166666666366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44876.20833333303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44876.249999999694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44876.291666666359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44876.333333333023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44876.374999999687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44876.416666666351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44876.458333333016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44876.49999999968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5" t="s">
        <v>321</v>
      </c>
      <c r="D1269" s="448"/>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234</v>
      </c>
      <c r="E1" s="5" t="s">
        <v>17</v>
      </c>
      <c r="S1" s="498" t="s">
        <v>253</v>
      </c>
      <c r="T1" s="498"/>
      <c r="U1" s="498"/>
      <c r="AA1" s="498" t="s">
        <v>85</v>
      </c>
      <c r="AB1" s="498"/>
      <c r="AH1" s="498" t="s">
        <v>170</v>
      </c>
      <c r="AI1" s="498"/>
      <c r="AJ1" s="498"/>
      <c r="AK1" s="498"/>
      <c r="AL1" s="498"/>
      <c r="AM1" s="498"/>
      <c r="AO1" s="5" t="s">
        <v>19</v>
      </c>
      <c r="AT1" s="498" t="s">
        <v>190</v>
      </c>
      <c r="AU1" s="498"/>
      <c r="BC1" s="5" t="s">
        <v>427</v>
      </c>
      <c r="BI1" s="5" t="s">
        <v>17</v>
      </c>
    </row>
    <row r="2" spans="1:65" s="5" customFormat="1" x14ac:dyDescent="0.2">
      <c r="A2" s="28"/>
    </row>
    <row r="3" spans="1:65" s="154" customFormat="1" ht="25.5" x14ac:dyDescent="0.2">
      <c r="A3" s="138" t="s">
        <v>0</v>
      </c>
      <c r="B3" s="138" t="s">
        <v>316</v>
      </c>
      <c r="C3" s="138" t="s">
        <v>327</v>
      </c>
      <c r="D3" s="138" t="s">
        <v>791</v>
      </c>
      <c r="E3" s="138" t="s">
        <v>1</v>
      </c>
      <c r="F3" s="138" t="s">
        <v>21</v>
      </c>
      <c r="G3" s="138" t="s">
        <v>236</v>
      </c>
      <c r="H3" s="138" t="s">
        <v>2</v>
      </c>
      <c r="I3" s="138" t="s">
        <v>5</v>
      </c>
      <c r="J3" s="138" t="s">
        <v>7</v>
      </c>
      <c r="K3" s="138" t="s">
        <v>12</v>
      </c>
      <c r="L3" s="138" t="s">
        <v>3</v>
      </c>
      <c r="M3" s="138" t="s">
        <v>4</v>
      </c>
      <c r="N3" s="138" t="s">
        <v>82</v>
      </c>
      <c r="O3" s="138" t="s">
        <v>357</v>
      </c>
      <c r="P3" s="138" t="s">
        <v>377</v>
      </c>
      <c r="Q3" s="138" t="s">
        <v>378</v>
      </c>
      <c r="R3" s="138" t="s">
        <v>792</v>
      </c>
      <c r="S3" s="138" t="s">
        <v>6</v>
      </c>
      <c r="T3" s="138" t="s">
        <v>9</v>
      </c>
      <c r="U3" s="138" t="s">
        <v>8</v>
      </c>
      <c r="V3" s="138" t="s">
        <v>13</v>
      </c>
      <c r="W3" s="138" t="s">
        <v>10</v>
      </c>
      <c r="X3" s="138" t="s">
        <v>11</v>
      </c>
      <c r="Y3" s="138" t="s">
        <v>50</v>
      </c>
      <c r="Z3" s="138" t="s">
        <v>793</v>
      </c>
      <c r="AA3" s="138" t="s">
        <v>856</v>
      </c>
      <c r="AB3" s="138" t="s">
        <v>857</v>
      </c>
      <c r="AC3" s="138" t="s">
        <v>858</v>
      </c>
      <c r="AD3" s="138" t="s">
        <v>859</v>
      </c>
      <c r="AE3" s="138" t="s">
        <v>860</v>
      </c>
      <c r="AF3" s="138" t="s">
        <v>861</v>
      </c>
      <c r="AG3" s="138" t="s">
        <v>794</v>
      </c>
      <c r="AH3" s="138" t="s">
        <v>862</v>
      </c>
      <c r="AI3" s="138" t="s">
        <v>863</v>
      </c>
      <c r="AJ3" s="138" t="s">
        <v>864</v>
      </c>
      <c r="AK3" s="138" t="s">
        <v>865</v>
      </c>
      <c r="AL3" s="138" t="s">
        <v>866</v>
      </c>
      <c r="AM3" s="138" t="s">
        <v>867</v>
      </c>
      <c r="AN3" s="138" t="s">
        <v>808</v>
      </c>
      <c r="AO3" s="138" t="s">
        <v>14</v>
      </c>
      <c r="AP3" s="138" t="s">
        <v>20</v>
      </c>
      <c r="AQ3" s="138" t="s">
        <v>16</v>
      </c>
      <c r="AR3" s="138" t="s">
        <v>15</v>
      </c>
      <c r="AS3" s="138" t="s">
        <v>809</v>
      </c>
      <c r="AT3" s="138" t="s">
        <v>868</v>
      </c>
      <c r="AU3" s="138" t="s">
        <v>869</v>
      </c>
      <c r="AV3" s="138" t="s">
        <v>870</v>
      </c>
      <c r="AW3" s="138" t="s">
        <v>871</v>
      </c>
      <c r="AX3" s="138" t="s">
        <v>872</v>
      </c>
      <c r="AY3" s="138" t="s">
        <v>810</v>
      </c>
      <c r="AZ3" s="138" t="s">
        <v>331</v>
      </c>
      <c r="BA3" s="138" t="s">
        <v>332</v>
      </c>
      <c r="BB3" s="138" t="s">
        <v>873</v>
      </c>
      <c r="BC3" s="138" t="s">
        <v>874</v>
      </c>
      <c r="BD3" s="138" t="s">
        <v>875</v>
      </c>
      <c r="BE3" s="138" t="s">
        <v>876</v>
      </c>
      <c r="BF3" s="138" t="s">
        <v>877</v>
      </c>
      <c r="BG3" s="138" t="s">
        <v>878</v>
      </c>
      <c r="BH3" s="138" t="s">
        <v>199</v>
      </c>
      <c r="BI3" s="138" t="s">
        <v>879</v>
      </c>
      <c r="BJ3" s="138" t="s">
        <v>880</v>
      </c>
      <c r="BK3" s="138" t="s">
        <v>881</v>
      </c>
      <c r="BL3" s="138" t="s">
        <v>882</v>
      </c>
      <c r="BM3" s="138" t="s">
        <v>883</v>
      </c>
    </row>
    <row r="4" spans="1:65" x14ac:dyDescent="0.2">
      <c r="A4" s="140">
        <f>TblRezone[[#This Row],[Hour]]</f>
        <v>1</v>
      </c>
      <c r="B4" s="155">
        <f>TblImps[[#This Row],[Time]]</f>
        <v>44871</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2]]/2,0),)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44871</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44871.041666666664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2]]/2,0),)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44871.041666666664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44871.083333333328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2]]/2,0),)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44871.083333333328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44871.124999999993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2]]/2,0),)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44871.124999999993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44871.166666666657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2]]/2,0),)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44871.166666666657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44871.208333333321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2]]/2,0),)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44871.208333333321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44871.249999999985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2]]/2,0),)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44871.249999999985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44871.29166666665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2]]/2,0),)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44871.29166666665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44871.333333333314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2]]/2,0),)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44871.333333333314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44871.374999999978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2]]/2,0),)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44871.374999999978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44871.416666666642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2]]/2,0),)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44871.416666666642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44871.458333333307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2]]/2,0),)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44871.458333333307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44871.499999999971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2]]/2,0),)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44871.499999999971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44871.541666666635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2]]/2,0),)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44871.541666666635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44871.583333333299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2]]/2,0),)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44871.583333333299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44871.624999999964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2]]/2,0),)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44871.624999999964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44871.666666666628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2]]/2,0),)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44871.666666666628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44871.708333333292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2]]/2,0),)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44871.708333333292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44871.749999999956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2]]/2,0),)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44871.749999999956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44871.791666666621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2]]/2,0),)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44871.791666666621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44871.833333333285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2]]/2,0),)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44871.833333333285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44871.874999999949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2]]/2,0),)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44871.874999999949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44871.916666666613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2]]/2,0),)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44871.916666666613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44871.958333333278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2]]/2,0),)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44871.958333333278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44871.999999999942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2]]/2,0),)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44871.999999999942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44872.041666666606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2]]/2,0),)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44872.041666666606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44872.08333333327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2]]/2,0),)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44872.08333333327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44872.124999999935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2]]/2,0),)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44872.124999999935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44872.166666666599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2]]/2,0),)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44872.166666666599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44872.208333333263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2]]/2,0),)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44872.208333333263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44872.249999999927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2]]/2,0),)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44872.249999999927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44872.291666666591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2]]/2,0),)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44872.291666666591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44872.333333333256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2]]/2,0),)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44872.333333333256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44872.37499999992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2]]/2,0),)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44872.37499999992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44872.416666666584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2]]/2,0),)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44872.416666666584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44872.458333333248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2]]/2,0),)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44872.458333333248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44872.499999999913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2]]/2,0),)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44872.499999999913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44872.541666666577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2]]/2,0),)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44872.541666666577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44872.583333333241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2]]/2,0),)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44872.583333333241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44872.624999999905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2]]/2,0),)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44872.624999999905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44872.66666666657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2]]/2,0),)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44872.66666666657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44872.708333333234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2]]/2,0),)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44872.708333333234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44872.749999999898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2]]/2,0),)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44872.749999999898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44872.791666666562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2]]/2,0),)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44872.791666666562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44872.833333333227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2]]/2,0),)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44872.833333333227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44872.874999999891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2]]/2,0),)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44872.874999999891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44872.916666666555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2]]/2,0),)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44872.916666666555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44872.958333333219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2]]/2,0),)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44872.958333333219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44872.999999999884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2]]/2,0),)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44872.999999999884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44873.041666666548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2]]/2,0),)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44873.041666666548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44873.083333333212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2]]/2,0),)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44873.083333333212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44873.124999999876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2]]/2,0),)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44873.124999999876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44873.166666666541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2]]/2,0),)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44873.166666666541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44873.208333333205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2]]/2,0),)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44873.208333333205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44873.249999999869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2]]/2,0),)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44873.249999999869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44873.291666666533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2]]/2,0),)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44873.291666666533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44873.333333333198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353183</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43183</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568</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2]]/2,0),)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431.83</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54911</v>
      </c>
      <c r="AU60" s="97">
        <f ca="1">TblConstr[[#This Row],[Total Lum Cost]]+TblImps[[#This Row],[L1]]-TblProd[[#This Row],[Bank Lumber]] + Military!$CL$25*TblMili[[#This Row],[Sec. rec. Cost]]</f>
        <v>8399</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44873.333333333198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353183</v>
      </c>
      <c r="BJ60" s="97">
        <f ca="1">TblProd[[#This Row],[Food]]</f>
        <v>95291</v>
      </c>
      <c r="BK60" s="97">
        <f ca="1">TblProd[[#This Row],[Lumber]]</f>
        <v>43183</v>
      </c>
      <c r="BL60" s="97">
        <f ca="1">TblProd[[#This Row],[Mana]]</f>
        <v>0</v>
      </c>
      <c r="BM60" s="97">
        <f ca="1">TblProd[[#This Row],[Ore]]</f>
        <v>0</v>
      </c>
    </row>
    <row r="61" spans="1:65" x14ac:dyDescent="0.2">
      <c r="A61" s="140">
        <v>58</v>
      </c>
      <c r="B61" s="155">
        <f ca="1">TblImps[[#This Row],[Time]]</f>
        <v>44873.374999999862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352891</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42868</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571</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2]]/2,0),)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428.68</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5778</v>
      </c>
      <c r="AU61" s="97">
        <f ca="1">TblConstr[[#This Row],[Total Lum Cost]]+TblImps[[#This Row],[L1]]-TblProd[[#This Row],[Bank Lumber]] + Military!$CL$25*TblMili[[#This Row],[Sec. rec. Cost]]</f>
        <v>883</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44873.374999999862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352891</v>
      </c>
      <c r="BJ61" s="97">
        <f ca="1">TblProd[[#This Row],[Food]]</f>
        <v>96329</v>
      </c>
      <c r="BK61" s="97">
        <f ca="1">TblProd[[#This Row],[Lumber]]</f>
        <v>42868</v>
      </c>
      <c r="BL61" s="97">
        <f ca="1">TblProd[[#This Row],[Mana]]</f>
        <v>0</v>
      </c>
      <c r="BM61" s="97">
        <f ca="1">TblProd[[#This Row],[Ore]]</f>
        <v>0</v>
      </c>
    </row>
    <row r="62" spans="1:65" x14ac:dyDescent="0.2">
      <c r="A62" s="140">
        <v>59</v>
      </c>
      <c r="B62" s="155">
        <f ca="1">TblImps[[#This Row],[Time]]</f>
        <v>44873.416666666526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352439</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42531</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575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2]]/2,0),)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425.31</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5938</v>
      </c>
      <c r="AU62" s="97">
        <f ca="1">TblConstr[[#This Row],[Total Lum Cost]]+TblImps[[#This Row],[L1]]-TblProd[[#This Row],[Bank Lumber]] + Military!$CL$25*TblMili[[#This Row],[Sec. rec. Cost]]</f>
        <v>908</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44873.416666666526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352439</v>
      </c>
      <c r="BJ62" s="97">
        <f ca="1">TblProd[[#This Row],[Food]]</f>
        <v>97356</v>
      </c>
      <c r="BK62" s="97">
        <f ca="1">TblProd[[#This Row],[Lumber]]</f>
        <v>42531</v>
      </c>
      <c r="BL62" s="97">
        <f ca="1">TblProd[[#This Row],[Mana]]</f>
        <v>0</v>
      </c>
      <c r="BM62" s="97">
        <f ca="1">TblProd[[#This Row],[Ore]]</f>
        <v>0</v>
      </c>
    </row>
    <row r="63" spans="1:65" x14ac:dyDescent="0.2">
      <c r="A63" s="140">
        <v>60</v>
      </c>
      <c r="B63" s="155">
        <f ca="1">TblImps[[#This Row],[Time]]</f>
        <v>44873.45833333319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351827</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42173</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578</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2]]/2,0),)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421.73</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6098</v>
      </c>
      <c r="AU63" s="97">
        <f ca="1">TblConstr[[#This Row],[Total Lum Cost]]+TblImps[[#This Row],[L1]]-TblProd[[#This Row],[Bank Lumber]] + Military!$CL$25*TblMili[[#This Row],[Sec. rec. Cost]]</f>
        <v>933</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44873.45833333319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351827</v>
      </c>
      <c r="BJ63" s="97">
        <f ca="1">TblProd[[#This Row],[Food]]</f>
        <v>98373</v>
      </c>
      <c r="BK63" s="97">
        <f ca="1">TblProd[[#This Row],[Lumber]]</f>
        <v>42173</v>
      </c>
      <c r="BL63" s="97">
        <f ca="1">TblProd[[#This Row],[Mana]]</f>
        <v>0</v>
      </c>
      <c r="BM63" s="97">
        <f ca="1">TblProd[[#This Row],[Ore]]</f>
        <v>0</v>
      </c>
    </row>
    <row r="64" spans="1:65" x14ac:dyDescent="0.2">
      <c r="A64" s="140">
        <v>61</v>
      </c>
      <c r="B64" s="155">
        <f ca="1">TblImps[[#This Row],[Time]]</f>
        <v>44873.499999999854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357313</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42751</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572</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2]]/2,0),)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427.51</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44873.499999999854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357313</v>
      </c>
      <c r="BJ64" s="97">
        <f ca="1">TblProd[[#This Row],[Food]]</f>
        <v>99380</v>
      </c>
      <c r="BK64" s="97">
        <f ca="1">TblProd[[#This Row],[Lumber]]</f>
        <v>42751</v>
      </c>
      <c r="BL64" s="97">
        <f ca="1">TblProd[[#This Row],[Mana]]</f>
        <v>0</v>
      </c>
      <c r="BM64" s="97">
        <f ca="1">TblProd[[#This Row],[Ore]]</f>
        <v>0</v>
      </c>
    </row>
    <row r="65" spans="1:65" x14ac:dyDescent="0.2">
      <c r="A65" s="140">
        <v>62</v>
      </c>
      <c r="B65" s="155">
        <f ca="1">TblImps[[#This Row],[Time]]</f>
        <v>44873.541666666519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362799</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43323</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567</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2]]/2,0),)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433.23</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44873.541666666519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362799</v>
      </c>
      <c r="BJ65" s="97">
        <f ca="1">TblProd[[#This Row],[Food]]</f>
        <v>100377</v>
      </c>
      <c r="BK65" s="97">
        <f ca="1">TblProd[[#This Row],[Lumber]]</f>
        <v>43323</v>
      </c>
      <c r="BL65" s="97">
        <f ca="1">TblProd[[#This Row],[Mana]]</f>
        <v>0</v>
      </c>
      <c r="BM65" s="97">
        <f ca="1">TblProd[[#This Row],[Ore]]</f>
        <v>0</v>
      </c>
    </row>
    <row r="66" spans="1:65" x14ac:dyDescent="0.2">
      <c r="A66" s="140">
        <v>63</v>
      </c>
      <c r="B66" s="155">
        <f ca="1">TblImps[[#This Row],[Time]]</f>
        <v>44873.583333333183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368285</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43890</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561</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2]]/2,0),)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438.90000000000003</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44873.583333333183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368285</v>
      </c>
      <c r="BJ66" s="97">
        <f ca="1">TblProd[[#This Row],[Food]]</f>
        <v>101364</v>
      </c>
      <c r="BK66" s="97">
        <f ca="1">TblProd[[#This Row],[Lumber]]</f>
        <v>43890</v>
      </c>
      <c r="BL66" s="97">
        <f ca="1">TblProd[[#This Row],[Mana]]</f>
        <v>0</v>
      </c>
      <c r="BM66" s="97">
        <f ca="1">TblProd[[#This Row],[Ore]]</f>
        <v>0</v>
      </c>
    </row>
    <row r="67" spans="1:65" x14ac:dyDescent="0.2">
      <c r="A67" s="140">
        <v>64</v>
      </c>
      <c r="B67" s="155">
        <f ca="1">TblImps[[#This Row],[Time]]</f>
        <v>44873.624999999847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373771</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44451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555</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2]]/2,0),)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444.51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44873.624999999847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373771</v>
      </c>
      <c r="BJ67" s="97">
        <f ca="1">TblProd[[#This Row],[Food]]</f>
        <v>102341</v>
      </c>
      <c r="BK67" s="97">
        <f ca="1">TblProd[[#This Row],[Lumber]]</f>
        <v>44451</v>
      </c>
      <c r="BL67" s="97">
        <f ca="1">TblProd[[#This Row],[Mana]]</f>
        <v>0</v>
      </c>
      <c r="BM67" s="97">
        <f ca="1">TblProd[[#This Row],[Ore]]</f>
        <v>0</v>
      </c>
    </row>
    <row r="68" spans="1:65" x14ac:dyDescent="0.2">
      <c r="A68" s="140">
        <v>65</v>
      </c>
      <c r="B68" s="155">
        <f ca="1">TblImps[[#This Row],[Time]]</f>
        <v>44873.666666666511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379257</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45006</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550</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2]]/2,0),)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450.06</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44873.666666666511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379257</v>
      </c>
      <c r="BJ68" s="97">
        <f ca="1">TblProd[[#This Row],[Food]]</f>
        <v>103308</v>
      </c>
      <c r="BK68" s="97">
        <f ca="1">TblProd[[#This Row],[Lumber]]</f>
        <v>45006</v>
      </c>
      <c r="BL68" s="97">
        <f ca="1">TblProd[[#This Row],[Mana]]</f>
        <v>0</v>
      </c>
      <c r="BM68" s="97">
        <f ca="1">TblProd[[#This Row],[Ore]]</f>
        <v>0</v>
      </c>
    </row>
    <row r="69" spans="1:65" x14ac:dyDescent="0.2">
      <c r="A69" s="140">
        <v>66</v>
      </c>
      <c r="B69" s="155">
        <f ca="1">TblImps[[#This Row],[Time]]</f>
        <v>44873.708333333176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384743</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45556</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544</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2]]/2,0),)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455.56</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44873.708333333176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384743</v>
      </c>
      <c r="BJ69" s="97">
        <f ca="1">TblProd[[#This Row],[Food]]</f>
        <v>104265</v>
      </c>
      <c r="BK69" s="97">
        <f ca="1">TblProd[[#This Row],[Lumber]]</f>
        <v>45556</v>
      </c>
      <c r="BL69" s="97">
        <f ca="1">TblProd[[#This Row],[Mana]]</f>
        <v>0</v>
      </c>
      <c r="BM69" s="97">
        <f ca="1">TblProd[[#This Row],[Ore]]</f>
        <v>0</v>
      </c>
    </row>
    <row r="70" spans="1:65" x14ac:dyDescent="0.2">
      <c r="A70" s="140">
        <v>67</v>
      </c>
      <c r="B70" s="155">
        <f ca="1">TblImps[[#This Row],[Time]]</f>
        <v>44873.74999999984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390229</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46100</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539</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2]]/2,0),)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461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44873.74999999984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390229</v>
      </c>
      <c r="BJ70" s="97">
        <f ca="1">TblProd[[#This Row],[Food]]</f>
        <v>105213</v>
      </c>
      <c r="BK70" s="97">
        <f ca="1">TblProd[[#This Row],[Lumber]]</f>
        <v>46100</v>
      </c>
      <c r="BL70" s="97">
        <f ca="1">TblProd[[#This Row],[Mana]]</f>
        <v>0</v>
      </c>
      <c r="BM70" s="97">
        <f ca="1">TblProd[[#This Row],[Ore]]</f>
        <v>0</v>
      </c>
    </row>
    <row r="71" spans="1:65" x14ac:dyDescent="0.2">
      <c r="A71" s="140">
        <v>68</v>
      </c>
      <c r="B71" s="155">
        <f ca="1">TblImps[[#This Row],[Time]]</f>
        <v>44873.791666666504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395715</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46639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534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2]]/2,0),)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466.39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44873.791666666504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395715</v>
      </c>
      <c r="BJ71" s="97">
        <f ca="1">TblProd[[#This Row],[Food]]</f>
        <v>106151</v>
      </c>
      <c r="BK71" s="97">
        <f ca="1">TblProd[[#This Row],[Lumber]]</f>
        <v>46639</v>
      </c>
      <c r="BL71" s="97">
        <f ca="1">TblProd[[#This Row],[Mana]]</f>
        <v>0</v>
      </c>
      <c r="BM71" s="97">
        <f ca="1">TblProd[[#This Row],[Ore]]</f>
        <v>0</v>
      </c>
    </row>
    <row r="72" spans="1:65" x14ac:dyDescent="0.2">
      <c r="A72" s="140">
        <v>69</v>
      </c>
      <c r="B72" s="155">
        <f ca="1">TblImps[[#This Row],[Time]]</f>
        <v>44873.833333333168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401201</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47173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528</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2]]/2,0),)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471.73</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44873.833333333168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401201</v>
      </c>
      <c r="BJ72" s="97">
        <f ca="1">TblProd[[#This Row],[Food]]</f>
        <v>107080</v>
      </c>
      <c r="BK72" s="97">
        <f ca="1">TblProd[[#This Row],[Lumber]]</f>
        <v>47173</v>
      </c>
      <c r="BL72" s="97">
        <f ca="1">TblProd[[#This Row],[Mana]]</f>
        <v>0</v>
      </c>
      <c r="BM72" s="97">
        <f ca="1">TblProd[[#This Row],[Ore]]</f>
        <v>0</v>
      </c>
    </row>
    <row r="73" spans="1:65" x14ac:dyDescent="0.2">
      <c r="A73" s="140">
        <v>70</v>
      </c>
      <c r="B73" s="155">
        <f ca="1">TblImps[[#This Row],[Time]]</f>
        <v>44873.874999999833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406687</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47701</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523</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2]]/2,0),)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477.01</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44873.874999999833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406687</v>
      </c>
      <c r="BJ73" s="97">
        <f ca="1">TblProd[[#This Row],[Food]]</f>
        <v>108000</v>
      </c>
      <c r="BK73" s="97">
        <f ca="1">TblProd[[#This Row],[Lumber]]</f>
        <v>47701</v>
      </c>
      <c r="BL73" s="97">
        <f ca="1">TblProd[[#This Row],[Mana]]</f>
        <v>0</v>
      </c>
      <c r="BM73" s="97">
        <f ca="1">TblProd[[#This Row],[Ore]]</f>
        <v>0</v>
      </c>
    </row>
    <row r="74" spans="1:65" x14ac:dyDescent="0.2">
      <c r="A74" s="140">
        <v>71</v>
      </c>
      <c r="B74" s="155">
        <f ca="1">TblImps[[#This Row],[Time]]</f>
        <v>44873.916666666497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412173</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48224</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518</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2]]/2,0),)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482.24</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44873.916666666497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412173</v>
      </c>
      <c r="BJ74" s="97">
        <f ca="1">TblProd[[#This Row],[Food]]</f>
        <v>108911</v>
      </c>
      <c r="BK74" s="97">
        <f ca="1">TblProd[[#This Row],[Lumber]]</f>
        <v>48224</v>
      </c>
      <c r="BL74" s="97">
        <f ca="1">TblProd[[#This Row],[Mana]]</f>
        <v>0</v>
      </c>
      <c r="BM74" s="97">
        <f ca="1">TblProd[[#This Row],[Ore]]</f>
        <v>0</v>
      </c>
    </row>
    <row r="75" spans="1:65" x14ac:dyDescent="0.2">
      <c r="A75" s="140">
        <v>72</v>
      </c>
      <c r="B75" s="155">
        <f ca="1">TblImps[[#This Row],[Time]]</f>
        <v>44873.958333333161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417659</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48742</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513</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2]]/2,0),)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487.42</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44873.958333333161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417659</v>
      </c>
      <c r="BJ75" s="97">
        <f ca="1">TblProd[[#This Row],[Food]]</f>
        <v>109812</v>
      </c>
      <c r="BK75" s="97">
        <f ca="1">TblProd[[#This Row],[Lumber]]</f>
        <v>48742</v>
      </c>
      <c r="BL75" s="97">
        <f ca="1">TblProd[[#This Row],[Mana]]</f>
        <v>0</v>
      </c>
      <c r="BM75" s="97">
        <f ca="1">TblProd[[#This Row],[Ore]]</f>
        <v>0</v>
      </c>
    </row>
    <row r="76" spans="1:65" s="5" customFormat="1" x14ac:dyDescent="0.2">
      <c r="A76" s="147" t="s">
        <v>235</v>
      </c>
      <c r="B76" s="163">
        <f ca="1">TblImps[[#This Row],[Time]]</f>
        <v>44873.999999999825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404403</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46389</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536</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2]]/2,0),)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463.89</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18742</v>
      </c>
      <c r="AU76" s="35">
        <f ca="1">TblConstr[[#This Row],[Total Lum Cost]]+TblImps[[#This Row],[L1]]-TblProd[[#This Row],[Bank Lumber]] + Military!$CL$25*TblMili[[#This Row],[Sec. rec. Cost]]</f>
        <v>2866</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44873.999999999825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404403</v>
      </c>
      <c r="BJ76" s="35">
        <f ca="1">TblProd[[#This Row],[Food]]</f>
        <v>110704</v>
      </c>
      <c r="BK76" s="35">
        <f ca="1">TblProd[[#This Row],[Lumber]]</f>
        <v>46389</v>
      </c>
      <c r="BL76" s="35">
        <f ca="1">TblProd[[#This Row],[Mana]]</f>
        <v>0</v>
      </c>
      <c r="BM76" s="35">
        <f ca="1">TblProd[[#This Row],[Ore]]</f>
        <v>0</v>
      </c>
    </row>
    <row r="77" spans="1:65" x14ac:dyDescent="0.2">
      <c r="A77" s="140">
        <v>2</v>
      </c>
      <c r="B77" s="155">
        <f ca="1">TblImps[[#This Row],[Time]]</f>
        <v>44874.04166666649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409889</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46925</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531</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2]]/2,0),)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469.25</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44874.04166666649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409889</v>
      </c>
      <c r="BJ77" s="97">
        <f ca="1">TblProd[[#This Row],[Food]]</f>
        <v>111587</v>
      </c>
      <c r="BK77" s="97">
        <f ca="1">TblProd[[#This Row],[Lumber]]</f>
        <v>46925</v>
      </c>
      <c r="BL77" s="97">
        <f ca="1">TblProd[[#This Row],[Mana]]</f>
        <v>0</v>
      </c>
      <c r="BM77" s="97">
        <f ca="1">TblProd[[#This Row],[Ore]]</f>
        <v>0</v>
      </c>
    </row>
    <row r="78" spans="1:65" x14ac:dyDescent="0.2">
      <c r="A78" s="140">
        <v>3</v>
      </c>
      <c r="B78" s="155">
        <f ca="1">TblImps[[#This Row],[Time]]</f>
        <v>44874.083333333154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415375</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47456</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525</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2]]/2,0),)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474.56</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44874.083333333154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415375</v>
      </c>
      <c r="BJ78" s="97">
        <f ca="1">TblProd[[#This Row],[Food]]</f>
        <v>112462</v>
      </c>
      <c r="BK78" s="97">
        <f ca="1">TblProd[[#This Row],[Lumber]]</f>
        <v>47456</v>
      </c>
      <c r="BL78" s="97">
        <f ca="1">TblProd[[#This Row],[Mana]]</f>
        <v>0</v>
      </c>
      <c r="BM78" s="97">
        <f ca="1">TblProd[[#This Row],[Ore]]</f>
        <v>0</v>
      </c>
    </row>
    <row r="79" spans="1:65" x14ac:dyDescent="0.2">
      <c r="A79" s="140">
        <v>4</v>
      </c>
      <c r="B79" s="155">
        <f ca="1">TblImps[[#This Row],[Time]]</f>
        <v>44874.124999999818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420861</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47981</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520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2]]/2,0),)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479.81</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44874.124999999818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420861</v>
      </c>
      <c r="BJ79" s="97">
        <f ca="1">TblProd[[#This Row],[Food]]</f>
        <v>113328</v>
      </c>
      <c r="BK79" s="97">
        <f ca="1">TblProd[[#This Row],[Lumber]]</f>
        <v>47981</v>
      </c>
      <c r="BL79" s="97">
        <f ca="1">TblProd[[#This Row],[Mana]]</f>
        <v>0</v>
      </c>
      <c r="BM79" s="97">
        <f ca="1">TblProd[[#This Row],[Ore]]</f>
        <v>0</v>
      </c>
    </row>
    <row r="80" spans="1:65" x14ac:dyDescent="0.2">
      <c r="A80" s="140">
        <v>5</v>
      </c>
      <c r="B80" s="155">
        <f ca="1">TblImps[[#This Row],[Time]]</f>
        <v>44874.166666666482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426347</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48501</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515</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2]]/2,0),)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485.01</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44874.166666666482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426347</v>
      </c>
      <c r="BJ80" s="97">
        <f ca="1">TblProd[[#This Row],[Food]]</f>
        <v>114185</v>
      </c>
      <c r="BK80" s="97">
        <f ca="1">TblProd[[#This Row],[Lumber]]</f>
        <v>48501</v>
      </c>
      <c r="BL80" s="97">
        <f ca="1">TblProd[[#This Row],[Mana]]</f>
        <v>0</v>
      </c>
      <c r="BM80" s="97">
        <f ca="1">TblProd[[#This Row],[Ore]]</f>
        <v>0</v>
      </c>
    </row>
    <row r="81" spans="1:65" x14ac:dyDescent="0.2">
      <c r="A81" s="140">
        <v>6</v>
      </c>
      <c r="B81" s="155">
        <f ca="1">TblImps[[#This Row],[Time]]</f>
        <v>44874.208333333147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431833</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49016</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510</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2]]/2,0),)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490.16</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44874.208333333147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431833</v>
      </c>
      <c r="BJ81" s="97">
        <f ca="1">TblProd[[#This Row],[Food]]</f>
        <v>115034</v>
      </c>
      <c r="BK81" s="97">
        <f ca="1">TblProd[[#This Row],[Lumber]]</f>
        <v>49016</v>
      </c>
      <c r="BL81" s="97">
        <f ca="1">TblProd[[#This Row],[Mana]]</f>
        <v>0</v>
      </c>
      <c r="BM81" s="97">
        <f ca="1">TblProd[[#This Row],[Ore]]</f>
        <v>0</v>
      </c>
    </row>
    <row r="82" spans="1:65" x14ac:dyDescent="0.2">
      <c r="A82" s="140">
        <v>7</v>
      </c>
      <c r="B82" s="155">
        <f ca="1">TblImps[[#This Row],[Time]]</f>
        <v>44874.249999999811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437319</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49526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505</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2]]/2,0),)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495.26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44874.249999999811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437319</v>
      </c>
      <c r="BJ82" s="97">
        <f ca="1">TblProd[[#This Row],[Food]]</f>
        <v>115874</v>
      </c>
      <c r="BK82" s="97">
        <f ca="1">TblProd[[#This Row],[Lumber]]</f>
        <v>49526</v>
      </c>
      <c r="BL82" s="97">
        <f ca="1">TblProd[[#This Row],[Mana]]</f>
        <v>0</v>
      </c>
      <c r="BM82" s="97">
        <f ca="1">TblProd[[#This Row],[Ore]]</f>
        <v>0</v>
      </c>
    </row>
    <row r="83" spans="1:65" x14ac:dyDescent="0.2">
      <c r="A83" s="140">
        <v>8</v>
      </c>
      <c r="B83" s="155">
        <f ca="1">TblImps[[#This Row],[Time]]</f>
        <v>44874.291666666475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442805</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50031</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500</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2]]/2,0),)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500.31</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44874.291666666475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442805</v>
      </c>
      <c r="BJ83" s="97">
        <f ca="1">TblProd[[#This Row],[Food]]</f>
        <v>116706</v>
      </c>
      <c r="BK83" s="97">
        <f ca="1">TblProd[[#This Row],[Lumber]]</f>
        <v>50031</v>
      </c>
      <c r="BL83" s="97">
        <f ca="1">TblProd[[#This Row],[Mana]]</f>
        <v>0</v>
      </c>
      <c r="BM83" s="97">
        <f ca="1">TblProd[[#This Row],[Ore]]</f>
        <v>0</v>
      </c>
    </row>
    <row r="84" spans="1:65" x14ac:dyDescent="0.2">
      <c r="A84" s="140">
        <v>9</v>
      </c>
      <c r="B84" s="155">
        <f ca="1">TblImps[[#This Row],[Time]]</f>
        <v>44874.333333333139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448291</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50531</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495</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2]]/2,0),)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505.31</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44874.333333333139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448291</v>
      </c>
      <c r="BJ84" s="97">
        <f ca="1">TblProd[[#This Row],[Food]]</f>
        <v>117529</v>
      </c>
      <c r="BK84" s="97">
        <f ca="1">TblProd[[#This Row],[Lumber]]</f>
        <v>50531</v>
      </c>
      <c r="BL84" s="97">
        <f ca="1">TblProd[[#This Row],[Mana]]</f>
        <v>0</v>
      </c>
      <c r="BM84" s="97">
        <f ca="1">TblProd[[#This Row],[Ore]]</f>
        <v>0</v>
      </c>
    </row>
    <row r="85" spans="1:65" x14ac:dyDescent="0.2">
      <c r="A85" s="140">
        <v>10</v>
      </c>
      <c r="B85" s="155">
        <f ca="1">TblImps[[#This Row],[Time]]</f>
        <v>44874.374999999804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453777</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51026</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490</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2]]/2,0),)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510.26</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44874.374999999804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453777</v>
      </c>
      <c r="BJ85" s="97">
        <f ca="1">TblProd[[#This Row],[Food]]</f>
        <v>118344</v>
      </c>
      <c r="BK85" s="97">
        <f ca="1">TblProd[[#This Row],[Lumber]]</f>
        <v>51026</v>
      </c>
      <c r="BL85" s="97">
        <f ca="1">TblProd[[#This Row],[Mana]]</f>
        <v>0</v>
      </c>
      <c r="BM85" s="97">
        <f ca="1">TblProd[[#This Row],[Ore]]</f>
        <v>0</v>
      </c>
    </row>
    <row r="86" spans="1:65" x14ac:dyDescent="0.2">
      <c r="A86" s="140">
        <v>11</v>
      </c>
      <c r="B86" s="155">
        <f ca="1">TblImps[[#This Row],[Time]]</f>
        <v>44874.416666666468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459263</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51516</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485</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2]]/2,0),)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515.16</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44874.416666666468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459263</v>
      </c>
      <c r="BJ86" s="97">
        <f ca="1">TblProd[[#This Row],[Food]]</f>
        <v>119151</v>
      </c>
      <c r="BK86" s="97">
        <f ca="1">TblProd[[#This Row],[Lumber]]</f>
        <v>51516</v>
      </c>
      <c r="BL86" s="97">
        <f ca="1">TblProd[[#This Row],[Mana]]</f>
        <v>0</v>
      </c>
      <c r="BM86" s="97">
        <f ca="1">TblProd[[#This Row],[Ore]]</f>
        <v>0</v>
      </c>
    </row>
    <row r="87" spans="1:65" x14ac:dyDescent="0.2">
      <c r="A87" s="140">
        <v>12</v>
      </c>
      <c r="B87" s="155">
        <f ca="1">TblImps[[#This Row],[Time]]</f>
        <v>44874.458333333132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464749</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52001</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480</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2]]/2,0),)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520.01</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44874.458333333132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464749</v>
      </c>
      <c r="BJ87" s="97">
        <f ca="1">TblProd[[#This Row],[Food]]</f>
        <v>119950</v>
      </c>
      <c r="BK87" s="97">
        <f ca="1">TblProd[[#This Row],[Lumber]]</f>
        <v>52001</v>
      </c>
      <c r="BL87" s="97">
        <f ca="1">TblProd[[#This Row],[Mana]]</f>
        <v>0</v>
      </c>
      <c r="BM87" s="97">
        <f ca="1">TblProd[[#This Row],[Ore]]</f>
        <v>0</v>
      </c>
    </row>
    <row r="88" spans="1:65" x14ac:dyDescent="0.2">
      <c r="A88" s="140">
        <v>13</v>
      </c>
      <c r="B88" s="155">
        <f ca="1">TblImps[[#This Row],[Time]]</f>
        <v>44874.499999999796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470235</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52481</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475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2]]/2,0),)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524.81000000000006</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44874.499999999796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470235</v>
      </c>
      <c r="BJ88" s="97">
        <f ca="1">TblProd[[#This Row],[Food]]</f>
        <v>120741</v>
      </c>
      <c r="BK88" s="97">
        <f ca="1">TblProd[[#This Row],[Lumber]]</f>
        <v>52481</v>
      </c>
      <c r="BL88" s="97">
        <f ca="1">TblProd[[#This Row],[Mana]]</f>
        <v>0</v>
      </c>
      <c r="BM88" s="97">
        <f ca="1">TblProd[[#This Row],[Ore]]</f>
        <v>0</v>
      </c>
    </row>
    <row r="89" spans="1:65" x14ac:dyDescent="0.2">
      <c r="A89" s="140">
        <v>14</v>
      </c>
      <c r="B89" s="155">
        <f ca="1">TblImps[[#This Row],[Time]]</f>
        <v>44874.541666666461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475721</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52956</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470</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2]]/2,0),)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529.56000000000006</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44874.541666666461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475721</v>
      </c>
      <c r="BJ89" s="97">
        <f ca="1">TblProd[[#This Row],[Food]]</f>
        <v>121524</v>
      </c>
      <c r="BK89" s="97">
        <f ca="1">TblProd[[#This Row],[Lumber]]</f>
        <v>52956</v>
      </c>
      <c r="BL89" s="97">
        <f ca="1">TblProd[[#This Row],[Mana]]</f>
        <v>0</v>
      </c>
      <c r="BM89" s="97">
        <f ca="1">TblProd[[#This Row],[Ore]]</f>
        <v>0</v>
      </c>
    </row>
    <row r="90" spans="1:65" x14ac:dyDescent="0.2">
      <c r="A90" s="140">
        <v>15</v>
      </c>
      <c r="B90" s="155">
        <f ca="1">TblImps[[#This Row],[Time]]</f>
        <v>44874.583333333125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481207</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53426</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466</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2]]/2,0),)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534.26</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44874.583333333125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481207</v>
      </c>
      <c r="BJ90" s="97">
        <f ca="1">TblProd[[#This Row],[Food]]</f>
        <v>122299</v>
      </c>
      <c r="BK90" s="97">
        <f ca="1">TblProd[[#This Row],[Lumber]]</f>
        <v>53426</v>
      </c>
      <c r="BL90" s="97">
        <f ca="1">TblProd[[#This Row],[Mana]]</f>
        <v>0</v>
      </c>
      <c r="BM90" s="97">
        <f ca="1">TblProd[[#This Row],[Ore]]</f>
        <v>0</v>
      </c>
    </row>
    <row r="91" spans="1:65" x14ac:dyDescent="0.2">
      <c r="A91" s="140">
        <v>16</v>
      </c>
      <c r="B91" s="155">
        <f ca="1">TblImps[[#This Row],[Time]]</f>
        <v>44874.624999999789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486693</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53892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461</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2]]/2,0),)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538.91999999999996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44874.624999999789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486693</v>
      </c>
      <c r="BJ91" s="97">
        <f ca="1">TblProd[[#This Row],[Food]]</f>
        <v>123067</v>
      </c>
      <c r="BK91" s="97">
        <f ca="1">TblProd[[#This Row],[Lumber]]</f>
        <v>53892</v>
      </c>
      <c r="BL91" s="97">
        <f ca="1">TblProd[[#This Row],[Mana]]</f>
        <v>0</v>
      </c>
      <c r="BM91" s="97">
        <f ca="1">TblProd[[#This Row],[Ore]]</f>
        <v>0</v>
      </c>
    </row>
    <row r="92" spans="1:65" x14ac:dyDescent="0.2">
      <c r="A92" s="140">
        <v>17</v>
      </c>
      <c r="B92" s="155">
        <f ca="1">TblImps[[#This Row],[Time]]</f>
        <v>44874.666666666453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492179</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54353</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456</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2]]/2,0),)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543.53</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44874.666666666453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492179</v>
      </c>
      <c r="BJ92" s="97">
        <f ca="1">TblProd[[#This Row],[Food]]</f>
        <v>123827</v>
      </c>
      <c r="BK92" s="97">
        <f ca="1">TblProd[[#This Row],[Lumber]]</f>
        <v>54353</v>
      </c>
      <c r="BL92" s="97">
        <f ca="1">TblProd[[#This Row],[Mana]]</f>
        <v>0</v>
      </c>
      <c r="BM92" s="97">
        <f ca="1">TblProd[[#This Row],[Ore]]</f>
        <v>0</v>
      </c>
    </row>
    <row r="93" spans="1:65" x14ac:dyDescent="0.2">
      <c r="A93" s="140">
        <v>18</v>
      </c>
      <c r="B93" s="155">
        <f ca="1">TblImps[[#This Row],[Time]]</f>
        <v>44874.708333333117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497665</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54809</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452</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2]]/2,0),)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548.09</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44874.708333333117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497665</v>
      </c>
      <c r="BJ93" s="97">
        <f ca="1">TblProd[[#This Row],[Food]]</f>
        <v>124579</v>
      </c>
      <c r="BK93" s="97">
        <f ca="1">TblProd[[#This Row],[Lumber]]</f>
        <v>54809</v>
      </c>
      <c r="BL93" s="97">
        <f ca="1">TblProd[[#This Row],[Mana]]</f>
        <v>0</v>
      </c>
      <c r="BM93" s="97">
        <f ca="1">TblProd[[#This Row],[Ore]]</f>
        <v>0</v>
      </c>
    </row>
    <row r="94" spans="1:65" x14ac:dyDescent="0.2">
      <c r="A94" s="140">
        <v>19</v>
      </c>
      <c r="B94" s="155">
        <f ca="1">TblImps[[#This Row],[Time]]</f>
        <v>44874.749999999782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503151</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55261</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447</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2]]/2,0),)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552.61</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44874.749999999782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503151</v>
      </c>
      <c r="BJ94" s="97">
        <f ca="1">TblProd[[#This Row],[Food]]</f>
        <v>125324</v>
      </c>
      <c r="BK94" s="97">
        <f ca="1">TblProd[[#This Row],[Lumber]]</f>
        <v>55261</v>
      </c>
      <c r="BL94" s="97">
        <f ca="1">TblProd[[#This Row],[Mana]]</f>
        <v>0</v>
      </c>
      <c r="BM94" s="97">
        <f ca="1">TblProd[[#This Row],[Ore]]</f>
        <v>0</v>
      </c>
    </row>
    <row r="95" spans="1:65" x14ac:dyDescent="0.2">
      <c r="A95" s="140">
        <v>20</v>
      </c>
      <c r="B95" s="155">
        <f ca="1">TblImps[[#This Row],[Time]]</f>
        <v>44874.791666666446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508637</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55708</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443</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2]]/2,0),)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557.08000000000004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44874.791666666446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508637</v>
      </c>
      <c r="BJ95" s="97">
        <f ca="1">TblProd[[#This Row],[Food]]</f>
        <v>126061</v>
      </c>
      <c r="BK95" s="97">
        <f ca="1">TblProd[[#This Row],[Lumber]]</f>
        <v>55708</v>
      </c>
      <c r="BL95" s="97">
        <f ca="1">TblProd[[#This Row],[Mana]]</f>
        <v>0</v>
      </c>
      <c r="BM95" s="97">
        <f ca="1">TblProd[[#This Row],[Ore]]</f>
        <v>0</v>
      </c>
    </row>
    <row r="96" spans="1:65" x14ac:dyDescent="0.2">
      <c r="A96" s="140">
        <v>21</v>
      </c>
      <c r="B96" s="155">
        <f ca="1">TblImps[[#This Row],[Time]]</f>
        <v>44874.83333333311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514123</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56151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438</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2]]/2,0),)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561.51</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44874.83333333311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514123</v>
      </c>
      <c r="BJ96" s="97">
        <f ca="1">TblProd[[#This Row],[Food]]</f>
        <v>126791</v>
      </c>
      <c r="BK96" s="97">
        <f ca="1">TblProd[[#This Row],[Lumber]]</f>
        <v>56151</v>
      </c>
      <c r="BL96" s="97">
        <f ca="1">TblProd[[#This Row],[Mana]]</f>
        <v>0</v>
      </c>
      <c r="BM96" s="97">
        <f ca="1">TblProd[[#This Row],[Ore]]</f>
        <v>0</v>
      </c>
    </row>
    <row r="97" spans="1:65" x14ac:dyDescent="0.2">
      <c r="A97" s="140">
        <v>22</v>
      </c>
      <c r="B97" s="155">
        <f ca="1">TblImps[[#This Row],[Time]]</f>
        <v>44874.874999999774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519609</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56589</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434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2]]/2,0),)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565.89</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44874.874999999774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519609</v>
      </c>
      <c r="BJ97" s="97">
        <f ca="1">TblProd[[#This Row],[Food]]</f>
        <v>127514</v>
      </c>
      <c r="BK97" s="97">
        <f ca="1">TblProd[[#This Row],[Lumber]]</f>
        <v>56589</v>
      </c>
      <c r="BL97" s="97">
        <f ca="1">TblProd[[#This Row],[Mana]]</f>
        <v>0</v>
      </c>
      <c r="BM97" s="97">
        <f ca="1">TblProd[[#This Row],[Ore]]</f>
        <v>0</v>
      </c>
    </row>
    <row r="98" spans="1:65" x14ac:dyDescent="0.2">
      <c r="A98" s="140">
        <v>23</v>
      </c>
      <c r="B98" s="155">
        <f ca="1">TblImps[[#This Row],[Time]]</f>
        <v>44874.916666666439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525095</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57023</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430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2]]/2,0),)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570.23</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44874.916666666439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525095</v>
      </c>
      <c r="BJ98" s="97">
        <f ca="1">TblProd[[#This Row],[Food]]</f>
        <v>128229</v>
      </c>
      <c r="BK98" s="97">
        <f ca="1">TblProd[[#This Row],[Lumber]]</f>
        <v>57023</v>
      </c>
      <c r="BL98" s="97">
        <f ca="1">TblProd[[#This Row],[Mana]]</f>
        <v>0</v>
      </c>
      <c r="BM98" s="97">
        <f ca="1">TblProd[[#This Row],[Ore]]</f>
        <v>0</v>
      </c>
    </row>
    <row r="99" spans="1:65" x14ac:dyDescent="0.2">
      <c r="A99" s="140">
        <v>24</v>
      </c>
      <c r="B99" s="155">
        <f ca="1">TblImps[[#This Row],[Time]]</f>
        <v>44874.958333333103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530581</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57453</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425</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2]]/2,0),)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574.53</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44874.958333333103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530581</v>
      </c>
      <c r="BJ99" s="97">
        <f ca="1">TblProd[[#This Row],[Food]]</f>
        <v>128937</v>
      </c>
      <c r="BK99" s="97">
        <f ca="1">TblProd[[#This Row],[Lumber]]</f>
        <v>57453</v>
      </c>
      <c r="BL99" s="97">
        <f ca="1">TblProd[[#This Row],[Mana]]</f>
        <v>0</v>
      </c>
      <c r="BM99" s="97">
        <f ca="1">TblProd[[#This Row],[Ore]]</f>
        <v>0</v>
      </c>
    </row>
    <row r="100" spans="1:65" x14ac:dyDescent="0.2">
      <c r="A100" s="140">
        <v>25</v>
      </c>
      <c r="B100" s="155">
        <f ca="1">TblImps[[#This Row],[Time]]</f>
        <v>44874.999999999767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536067</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57878</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421</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2]]/2,0),)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578.78</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44874.999999999767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536067</v>
      </c>
      <c r="BJ100" s="97">
        <f ca="1">TblProd[[#This Row],[Food]]</f>
        <v>129638</v>
      </c>
      <c r="BK100" s="97">
        <f ca="1">TblProd[[#This Row],[Lumber]]</f>
        <v>57878</v>
      </c>
      <c r="BL100" s="97">
        <f ca="1">TblProd[[#This Row],[Mana]]</f>
        <v>0</v>
      </c>
      <c r="BM100" s="97">
        <f ca="1">TblProd[[#This Row],[Ore]]</f>
        <v>0</v>
      </c>
    </row>
    <row r="101" spans="1:65" x14ac:dyDescent="0.2">
      <c r="A101" s="140">
        <v>26</v>
      </c>
      <c r="B101" s="155">
        <f ca="1">TblImps[[#This Row],[Time]]</f>
        <v>44875.041666666431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541553</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58299</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417</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2]]/2,0),)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582.99</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44875.041666666431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541553</v>
      </c>
      <c r="BJ101" s="97">
        <f ca="1">TblProd[[#This Row],[Food]]</f>
        <v>130332</v>
      </c>
      <c r="BK101" s="97">
        <f ca="1">TblProd[[#This Row],[Lumber]]</f>
        <v>58299</v>
      </c>
      <c r="BL101" s="97">
        <f ca="1">TblProd[[#This Row],[Mana]]</f>
        <v>0</v>
      </c>
      <c r="BM101" s="97">
        <f ca="1">TblProd[[#This Row],[Ore]]</f>
        <v>0</v>
      </c>
    </row>
    <row r="102" spans="1:65" x14ac:dyDescent="0.2">
      <c r="A102" s="140">
        <v>27</v>
      </c>
      <c r="B102" s="155">
        <f ca="1">TblImps[[#This Row],[Time]]</f>
        <v>44875.083333333096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547039</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58716</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413</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2]]/2,0),)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587.16</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44875.083333333096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547039</v>
      </c>
      <c r="BJ102" s="97">
        <f ca="1">TblProd[[#This Row],[Food]]</f>
        <v>131019</v>
      </c>
      <c r="BK102" s="97">
        <f ca="1">TblProd[[#This Row],[Lumber]]</f>
        <v>58716</v>
      </c>
      <c r="BL102" s="97">
        <f ca="1">TblProd[[#This Row],[Mana]]</f>
        <v>0</v>
      </c>
      <c r="BM102" s="97">
        <f ca="1">TblProd[[#This Row],[Ore]]</f>
        <v>0</v>
      </c>
    </row>
    <row r="103" spans="1:65" x14ac:dyDescent="0.2">
      <c r="A103" s="140">
        <v>28</v>
      </c>
      <c r="B103" s="155">
        <f ca="1">TblImps[[#This Row],[Time]]</f>
        <v>44875.12499999976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552525</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59129</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409</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2]]/2,0),)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591.29</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44875.12499999976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552525</v>
      </c>
      <c r="BJ103" s="97">
        <f ca="1">TblProd[[#This Row],[Food]]</f>
        <v>131699</v>
      </c>
      <c r="BK103" s="97">
        <f ca="1">TblProd[[#This Row],[Lumber]]</f>
        <v>59129</v>
      </c>
      <c r="BL103" s="97">
        <f ca="1">TblProd[[#This Row],[Mana]]</f>
        <v>0</v>
      </c>
      <c r="BM103" s="97">
        <f ca="1">TblProd[[#This Row],[Ore]]</f>
        <v>0</v>
      </c>
    </row>
    <row r="104" spans="1:65" x14ac:dyDescent="0.2">
      <c r="A104" s="140">
        <v>29</v>
      </c>
      <c r="B104" s="155">
        <f ca="1">TblImps[[#This Row],[Time]]</f>
        <v>44875.166666666424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558011</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59538</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405</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2]]/2,0),)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595.38</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44875.166666666424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558011</v>
      </c>
      <c r="BJ104" s="97">
        <f ca="1">TblProd[[#This Row],[Food]]</f>
        <v>132373</v>
      </c>
      <c r="BK104" s="97">
        <f ca="1">TblProd[[#This Row],[Lumber]]</f>
        <v>59538</v>
      </c>
      <c r="BL104" s="97">
        <f ca="1">TblProd[[#This Row],[Mana]]</f>
        <v>0</v>
      </c>
      <c r="BM104" s="97">
        <f ca="1">TblProd[[#This Row],[Ore]]</f>
        <v>0</v>
      </c>
    </row>
    <row r="105" spans="1:65" x14ac:dyDescent="0.2">
      <c r="A105" s="140">
        <v>30</v>
      </c>
      <c r="B105" s="155">
        <f ca="1">TblImps[[#This Row],[Time]]</f>
        <v>44875.208333333088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563497</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59943</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401</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2]]/2,0),)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599.43000000000006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44875.208333333088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563497</v>
      </c>
      <c r="BJ105" s="97">
        <f ca="1">TblProd[[#This Row],[Food]]</f>
        <v>133040</v>
      </c>
      <c r="BK105" s="97">
        <f ca="1">TblProd[[#This Row],[Lumber]]</f>
        <v>59943</v>
      </c>
      <c r="BL105" s="97">
        <f ca="1">TblProd[[#This Row],[Mana]]</f>
        <v>0</v>
      </c>
      <c r="BM105" s="97">
        <f ca="1">TblProd[[#This Row],[Ore]]</f>
        <v>0</v>
      </c>
    </row>
    <row r="106" spans="1:65" x14ac:dyDescent="0.2">
      <c r="A106" s="140">
        <v>31</v>
      </c>
      <c r="B106" s="155">
        <f ca="1">TblImps[[#This Row],[Time]]</f>
        <v>44875.249999999753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568983</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60344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397</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2]]/2,0),)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603.44000000000005</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44875.249999999753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568983</v>
      </c>
      <c r="BJ106" s="97">
        <f ca="1">TblProd[[#This Row],[Food]]</f>
        <v>133700</v>
      </c>
      <c r="BK106" s="97">
        <f ca="1">TblProd[[#This Row],[Lumber]]</f>
        <v>60344</v>
      </c>
      <c r="BL106" s="97">
        <f ca="1">TblProd[[#This Row],[Mana]]</f>
        <v>0</v>
      </c>
      <c r="BM106" s="97">
        <f ca="1">TblProd[[#This Row],[Ore]]</f>
        <v>0</v>
      </c>
    </row>
    <row r="107" spans="1:65" x14ac:dyDescent="0.2">
      <c r="A107" s="140">
        <v>32</v>
      </c>
      <c r="B107" s="155">
        <f ca="1">TblImps[[#This Row],[Time]]</f>
        <v>44875.291666666417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574469</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60741</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393</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2]]/2,0),)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607.41</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44875.291666666417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574469</v>
      </c>
      <c r="BJ107" s="97">
        <f ca="1">TblProd[[#This Row],[Food]]</f>
        <v>134354</v>
      </c>
      <c r="BK107" s="97">
        <f ca="1">TblProd[[#This Row],[Lumber]]</f>
        <v>60741</v>
      </c>
      <c r="BL107" s="97">
        <f ca="1">TblProd[[#This Row],[Mana]]</f>
        <v>0</v>
      </c>
      <c r="BM107" s="97">
        <f ca="1">TblProd[[#This Row],[Ore]]</f>
        <v>0</v>
      </c>
    </row>
    <row r="108" spans="1:65" x14ac:dyDescent="0.2">
      <c r="A108" s="140">
        <v>33</v>
      </c>
      <c r="B108" s="155">
        <f ca="1">TblImps[[#This Row],[Time]]</f>
        <v>44875.333333333081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579955</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61134</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389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2]]/2,0),)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611.34</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44875.333333333081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579955</v>
      </c>
      <c r="BJ108" s="97">
        <f ca="1">TblProd[[#This Row],[Food]]</f>
        <v>135001</v>
      </c>
      <c r="BK108" s="97">
        <f ca="1">TblProd[[#This Row],[Lumber]]</f>
        <v>61134</v>
      </c>
      <c r="BL108" s="97">
        <f ca="1">TblProd[[#This Row],[Mana]]</f>
        <v>0</v>
      </c>
      <c r="BM108" s="97">
        <f ca="1">TblProd[[#This Row],[Ore]]</f>
        <v>0</v>
      </c>
    </row>
    <row r="109" spans="1:65" x14ac:dyDescent="0.2">
      <c r="A109" s="140">
        <v>34</v>
      </c>
      <c r="B109" s="155">
        <f ca="1">TblImps[[#This Row],[Time]]</f>
        <v>44875.374999999745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585441</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61523</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385</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2]]/2,0),)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615.23</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44875.374999999745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585441</v>
      </c>
      <c r="BJ109" s="97">
        <f ca="1">TblProd[[#This Row],[Food]]</f>
        <v>135641</v>
      </c>
      <c r="BK109" s="97">
        <f ca="1">TblProd[[#This Row],[Lumber]]</f>
        <v>61523</v>
      </c>
      <c r="BL109" s="97">
        <f ca="1">TblProd[[#This Row],[Mana]]</f>
        <v>0</v>
      </c>
      <c r="BM109" s="97">
        <f ca="1">TblProd[[#This Row],[Ore]]</f>
        <v>0</v>
      </c>
    </row>
    <row r="110" spans="1:65" x14ac:dyDescent="0.2">
      <c r="A110" s="140">
        <v>35</v>
      </c>
      <c r="B110" s="155">
        <f ca="1">TblImps[[#This Row],[Time]]</f>
        <v>44875.41666666641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590927</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61908</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381</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2]]/2,0),)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619.08000000000004</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44875.41666666641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590927</v>
      </c>
      <c r="BJ110" s="97">
        <f ca="1">TblProd[[#This Row],[Food]]</f>
        <v>136275</v>
      </c>
      <c r="BK110" s="97">
        <f ca="1">TblProd[[#This Row],[Lumber]]</f>
        <v>61908</v>
      </c>
      <c r="BL110" s="97">
        <f ca="1">TblProd[[#This Row],[Mana]]</f>
        <v>0</v>
      </c>
      <c r="BM110" s="97">
        <f ca="1">TblProd[[#This Row],[Ore]]</f>
        <v>0</v>
      </c>
    </row>
    <row r="111" spans="1:65" x14ac:dyDescent="0.2">
      <c r="A111" s="140">
        <v>36</v>
      </c>
      <c r="B111" s="155">
        <f ca="1">TblImps[[#This Row],[Time]]</f>
        <v>44875.458333333074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596413</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62289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377</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2]]/2,0),)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622.89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44875.458333333074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596413</v>
      </c>
      <c r="BJ111" s="97">
        <f ca="1">TblProd[[#This Row],[Food]]</f>
        <v>136903</v>
      </c>
      <c r="BK111" s="97">
        <f ca="1">TblProd[[#This Row],[Lumber]]</f>
        <v>62289</v>
      </c>
      <c r="BL111" s="97">
        <f ca="1">TblProd[[#This Row],[Mana]]</f>
        <v>0</v>
      </c>
      <c r="BM111" s="97">
        <f ca="1">TblProd[[#This Row],[Ore]]</f>
        <v>0</v>
      </c>
    </row>
    <row r="112" spans="1:65" x14ac:dyDescent="0.2">
      <c r="A112" s="140">
        <v>37</v>
      </c>
      <c r="B112" s="155">
        <f ca="1">TblImps[[#This Row],[Time]]</f>
        <v>44875.499999999738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601899</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62666</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373</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2]]/2,0),)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626.66</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44875.499999999738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601899</v>
      </c>
      <c r="BJ112" s="97">
        <f ca="1">TblProd[[#This Row],[Food]]</f>
        <v>137524</v>
      </c>
      <c r="BK112" s="97">
        <f ca="1">TblProd[[#This Row],[Lumber]]</f>
        <v>62666</v>
      </c>
      <c r="BL112" s="97">
        <f ca="1">TblProd[[#This Row],[Mana]]</f>
        <v>0</v>
      </c>
      <c r="BM112" s="97">
        <f ca="1">TblProd[[#This Row],[Ore]]</f>
        <v>0</v>
      </c>
    </row>
    <row r="113" spans="1:65" x14ac:dyDescent="0.2">
      <c r="A113" s="140">
        <v>38</v>
      </c>
      <c r="B113" s="155">
        <f ca="1">TblImps[[#This Row],[Time]]</f>
        <v>44875.541666666402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607385</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63039</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370</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2]]/2,0),)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630.39</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44875.541666666402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607385</v>
      </c>
      <c r="BJ113" s="97">
        <f ca="1">TblProd[[#This Row],[Food]]</f>
        <v>138139</v>
      </c>
      <c r="BK113" s="97">
        <f ca="1">TblProd[[#This Row],[Lumber]]</f>
        <v>63039</v>
      </c>
      <c r="BL113" s="97">
        <f ca="1">TblProd[[#This Row],[Mana]]</f>
        <v>0</v>
      </c>
      <c r="BM113" s="97">
        <f ca="1">TblProd[[#This Row],[Ore]]</f>
        <v>0</v>
      </c>
    </row>
    <row r="114" spans="1:65" x14ac:dyDescent="0.2">
      <c r="A114" s="140">
        <v>39</v>
      </c>
      <c r="B114" s="155">
        <f ca="1">TblImps[[#This Row],[Time]]</f>
        <v>44875.583333333067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612871</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63409</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366</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2]]/2,0),)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634.09</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44875.583333333067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612871</v>
      </c>
      <c r="BJ114" s="97">
        <f ca="1">TblProd[[#This Row],[Food]]</f>
        <v>138748</v>
      </c>
      <c r="BK114" s="97">
        <f ca="1">TblProd[[#This Row],[Lumber]]</f>
        <v>63409</v>
      </c>
      <c r="BL114" s="97">
        <f ca="1">TblProd[[#This Row],[Mana]]</f>
        <v>0</v>
      </c>
      <c r="BM114" s="97">
        <f ca="1">TblProd[[#This Row],[Ore]]</f>
        <v>0</v>
      </c>
    </row>
    <row r="115" spans="1:65" x14ac:dyDescent="0.2">
      <c r="A115" s="140">
        <v>40</v>
      </c>
      <c r="B115" s="155">
        <f ca="1">TblImps[[#This Row],[Time]]</f>
        <v>44875.624999999731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618357</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63775</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362</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2]]/2,0),)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637.75</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44875.624999999731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618357</v>
      </c>
      <c r="BJ115" s="97">
        <f ca="1">TblProd[[#This Row],[Food]]</f>
        <v>139351</v>
      </c>
      <c r="BK115" s="97">
        <f ca="1">TblProd[[#This Row],[Lumber]]</f>
        <v>63775</v>
      </c>
      <c r="BL115" s="97">
        <f ca="1">TblProd[[#This Row],[Mana]]</f>
        <v>0</v>
      </c>
      <c r="BM115" s="97">
        <f ca="1">TblProd[[#This Row],[Ore]]</f>
        <v>0</v>
      </c>
    </row>
    <row r="116" spans="1:65" x14ac:dyDescent="0.2">
      <c r="A116" s="140">
        <v>41</v>
      </c>
      <c r="B116" s="155">
        <f ca="1">TblImps[[#This Row],[Time]]</f>
        <v>44875.666666666395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623843</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64137</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359</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2]]/2,0),)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641.37</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44875.666666666395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623843</v>
      </c>
      <c r="BJ116" s="97">
        <f ca="1">TblProd[[#This Row],[Food]]</f>
        <v>139948</v>
      </c>
      <c r="BK116" s="97">
        <f ca="1">TblProd[[#This Row],[Lumber]]</f>
        <v>64137</v>
      </c>
      <c r="BL116" s="97">
        <f ca="1">TblProd[[#This Row],[Mana]]</f>
        <v>0</v>
      </c>
      <c r="BM116" s="97">
        <f ca="1">TblProd[[#This Row],[Ore]]</f>
        <v>0</v>
      </c>
    </row>
    <row r="117" spans="1:65" x14ac:dyDescent="0.2">
      <c r="A117" s="140">
        <v>42</v>
      </c>
      <c r="B117" s="155">
        <f ca="1">TblImps[[#This Row],[Time]]</f>
        <v>44875.708333333059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629329</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64496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355</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2]]/2,0),)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644.96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44875.708333333059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629329</v>
      </c>
      <c r="BJ117" s="97">
        <f ca="1">TblProd[[#This Row],[Food]]</f>
        <v>140539</v>
      </c>
      <c r="BK117" s="97">
        <f ca="1">TblProd[[#This Row],[Lumber]]</f>
        <v>64496</v>
      </c>
      <c r="BL117" s="97">
        <f ca="1">TblProd[[#This Row],[Mana]]</f>
        <v>0</v>
      </c>
      <c r="BM117" s="97">
        <f ca="1">TblProd[[#This Row],[Ore]]</f>
        <v>0</v>
      </c>
    </row>
    <row r="118" spans="1:65" x14ac:dyDescent="0.2">
      <c r="A118" s="140">
        <v>43</v>
      </c>
      <c r="B118" s="155">
        <f ca="1">TblImps[[#This Row],[Time]]</f>
        <v>44875.749999999724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634815</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64851</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351</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2]]/2,0),)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648.51</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44875.749999999724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634815</v>
      </c>
      <c r="BJ118" s="97">
        <f ca="1">TblProd[[#This Row],[Food]]</f>
        <v>141124</v>
      </c>
      <c r="BK118" s="97">
        <f ca="1">TblProd[[#This Row],[Lumber]]</f>
        <v>64851</v>
      </c>
      <c r="BL118" s="97">
        <f ca="1">TblProd[[#This Row],[Mana]]</f>
        <v>0</v>
      </c>
      <c r="BM118" s="97">
        <f ca="1">TblProd[[#This Row],[Ore]]</f>
        <v>0</v>
      </c>
    </row>
    <row r="119" spans="1:65" x14ac:dyDescent="0.2">
      <c r="A119" s="140">
        <v>44</v>
      </c>
      <c r="B119" s="155">
        <f ca="1">TblImps[[#This Row],[Time]]</f>
        <v>44875.791666666388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640301</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65202</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348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2]]/2,0),)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652.02</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44875.791666666388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640301</v>
      </c>
      <c r="BJ119" s="97">
        <f ca="1">TblProd[[#This Row],[Food]]</f>
        <v>141703</v>
      </c>
      <c r="BK119" s="97">
        <f ca="1">TblProd[[#This Row],[Lumber]]</f>
        <v>65202</v>
      </c>
      <c r="BL119" s="97">
        <f ca="1">TblProd[[#This Row],[Mana]]</f>
        <v>0</v>
      </c>
      <c r="BM119" s="97">
        <f ca="1">TblProd[[#This Row],[Ore]]</f>
        <v>0</v>
      </c>
    </row>
    <row r="120" spans="1:65" x14ac:dyDescent="0.2">
      <c r="A120" s="140">
        <v>45</v>
      </c>
      <c r="B120" s="155">
        <f ca="1">TblImps[[#This Row],[Time]]</f>
        <v>44875.833333333052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645787</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65550</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345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2]]/2,0),)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655.5</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44875.833333333052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645787</v>
      </c>
      <c r="BJ120" s="97">
        <f ca="1">TblProd[[#This Row],[Food]]</f>
        <v>142276</v>
      </c>
      <c r="BK120" s="97">
        <f ca="1">TblProd[[#This Row],[Lumber]]</f>
        <v>65550</v>
      </c>
      <c r="BL120" s="97">
        <f ca="1">TblProd[[#This Row],[Mana]]</f>
        <v>0</v>
      </c>
      <c r="BM120" s="97">
        <f ca="1">TblProd[[#This Row],[Ore]]</f>
        <v>0</v>
      </c>
    </row>
    <row r="121" spans="1:65" x14ac:dyDescent="0.2">
      <c r="A121" s="140">
        <v>46</v>
      </c>
      <c r="B121" s="155">
        <f ca="1">TblImps[[#This Row],[Time]]</f>
        <v>44875.874999999716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651273</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65895</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341</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2]]/2,0),)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658.95</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44875.874999999716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651273</v>
      </c>
      <c r="BJ121" s="97">
        <f ca="1">TblProd[[#This Row],[Food]]</f>
        <v>142844</v>
      </c>
      <c r="BK121" s="97">
        <f ca="1">TblProd[[#This Row],[Lumber]]</f>
        <v>65895</v>
      </c>
      <c r="BL121" s="97">
        <f ca="1">TblProd[[#This Row],[Mana]]</f>
        <v>0</v>
      </c>
      <c r="BM121" s="97">
        <f ca="1">TblProd[[#This Row],[Ore]]</f>
        <v>0</v>
      </c>
    </row>
    <row r="122" spans="1:65" x14ac:dyDescent="0.2">
      <c r="A122" s="140">
        <v>47</v>
      </c>
      <c r="B122" s="155">
        <f ca="1">TblImps[[#This Row],[Time]]</f>
        <v>44875.91666666638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656759</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66236</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338</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2]]/2,0),)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662.36</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44875.91666666638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656759</v>
      </c>
      <c r="BJ122" s="97">
        <f ca="1">TblProd[[#This Row],[Food]]</f>
        <v>143406</v>
      </c>
      <c r="BK122" s="97">
        <f ca="1">TblProd[[#This Row],[Lumber]]</f>
        <v>66236</v>
      </c>
      <c r="BL122" s="97">
        <f ca="1">TblProd[[#This Row],[Mana]]</f>
        <v>0</v>
      </c>
      <c r="BM122" s="97">
        <f ca="1">TblProd[[#This Row],[Ore]]</f>
        <v>0</v>
      </c>
    </row>
    <row r="123" spans="1:65" x14ac:dyDescent="0.2">
      <c r="A123" s="140">
        <v>48</v>
      </c>
      <c r="B123" s="155">
        <f ca="1">TblImps[[#This Row],[Time]]</f>
        <v>44875.958333333045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662245</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66574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334</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2]]/2,0),)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665.74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44875.958333333045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662245</v>
      </c>
      <c r="BJ123" s="97">
        <f ca="1">TblProd[[#This Row],[Food]]</f>
        <v>143962</v>
      </c>
      <c r="BK123" s="97">
        <f ca="1">TblProd[[#This Row],[Lumber]]</f>
        <v>66574</v>
      </c>
      <c r="BL123" s="97">
        <f ca="1">TblProd[[#This Row],[Mana]]</f>
        <v>0</v>
      </c>
      <c r="BM123" s="97">
        <f ca="1">TblProd[[#This Row],[Ore]]</f>
        <v>0</v>
      </c>
    </row>
    <row r="124" spans="1:65" x14ac:dyDescent="0.2">
      <c r="A124" s="140">
        <v>49</v>
      </c>
      <c r="B124" s="155">
        <f ca="1">TblImps[[#This Row],[Time]]</f>
        <v>44875.999999999709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667731</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66908</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331</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2]]/2,0),)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669.08</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44875.999999999709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667731</v>
      </c>
      <c r="BJ124" s="97">
        <f ca="1">TblProd[[#This Row],[Food]]</f>
        <v>144513</v>
      </c>
      <c r="BK124" s="97">
        <f ca="1">TblProd[[#This Row],[Lumber]]</f>
        <v>66908</v>
      </c>
      <c r="BL124" s="97">
        <f ca="1">TblProd[[#This Row],[Mana]]</f>
        <v>0</v>
      </c>
      <c r="BM124" s="97">
        <f ca="1">TblProd[[#This Row],[Ore]]</f>
        <v>0</v>
      </c>
    </row>
    <row r="125" spans="1:65" x14ac:dyDescent="0.2">
      <c r="A125" s="140">
        <v>50</v>
      </c>
      <c r="B125" s="155">
        <f ca="1">TblImps[[#This Row],[Time]]</f>
        <v>44876.041666666373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673217</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67239</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328</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2]]/2,0),)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672.39</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44876.041666666373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673217</v>
      </c>
      <c r="BJ125" s="97">
        <f ca="1">TblProd[[#This Row],[Food]]</f>
        <v>145058</v>
      </c>
      <c r="BK125" s="97">
        <f ca="1">TblProd[[#This Row],[Lumber]]</f>
        <v>67239</v>
      </c>
      <c r="BL125" s="97">
        <f ca="1">TblProd[[#This Row],[Mana]]</f>
        <v>0</v>
      </c>
      <c r="BM125" s="97">
        <f ca="1">TblProd[[#This Row],[Ore]]</f>
        <v>0</v>
      </c>
    </row>
    <row r="126" spans="1:65" x14ac:dyDescent="0.2">
      <c r="A126" s="140">
        <v>51</v>
      </c>
      <c r="B126" s="155">
        <f ca="1">TblImps[[#This Row],[Time]]</f>
        <v>44876.083333333037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678703</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67567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324</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2]]/2,0),)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675.67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44876.083333333037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678703</v>
      </c>
      <c r="BJ126" s="97">
        <f ca="1">TblProd[[#This Row],[Food]]</f>
        <v>145598</v>
      </c>
      <c r="BK126" s="97">
        <f ca="1">TblProd[[#This Row],[Lumber]]</f>
        <v>67567</v>
      </c>
      <c r="BL126" s="97">
        <f ca="1">TblProd[[#This Row],[Mana]]</f>
        <v>0</v>
      </c>
      <c r="BM126" s="97">
        <f ca="1">TblProd[[#This Row],[Ore]]</f>
        <v>0</v>
      </c>
    </row>
    <row r="127" spans="1:65" x14ac:dyDescent="0.2">
      <c r="A127" s="140">
        <v>52</v>
      </c>
      <c r="B127" s="155">
        <f ca="1">TblImps[[#This Row],[Time]]</f>
        <v>44876.124999999702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684189</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67891</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321</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2]]/2,0),)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678.91</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44876.124999999702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684189</v>
      </c>
      <c r="BJ127" s="97">
        <f ca="1">TblProd[[#This Row],[Food]]</f>
        <v>146133</v>
      </c>
      <c r="BK127" s="97">
        <f ca="1">TblProd[[#This Row],[Lumber]]</f>
        <v>67891</v>
      </c>
      <c r="BL127" s="97">
        <f ca="1">TblProd[[#This Row],[Mana]]</f>
        <v>0</v>
      </c>
      <c r="BM127" s="97">
        <f ca="1">TblProd[[#This Row],[Ore]]</f>
        <v>0</v>
      </c>
    </row>
    <row r="128" spans="1:65" x14ac:dyDescent="0.2">
      <c r="A128" s="140">
        <v>53</v>
      </c>
      <c r="B128" s="155">
        <f ca="1">TblImps[[#This Row],[Time]]</f>
        <v>44876.166666666366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689675</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68212</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318</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2]]/2,0),)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682.12</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44876.166666666366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689675</v>
      </c>
      <c r="BJ128" s="97">
        <f ca="1">TblProd[[#This Row],[Food]]</f>
        <v>146662</v>
      </c>
      <c r="BK128" s="97">
        <f ca="1">TblProd[[#This Row],[Lumber]]</f>
        <v>68212</v>
      </c>
      <c r="BL128" s="97">
        <f ca="1">TblProd[[#This Row],[Mana]]</f>
        <v>0</v>
      </c>
      <c r="BM128" s="97">
        <f ca="1">TblProd[[#This Row],[Ore]]</f>
        <v>0</v>
      </c>
    </row>
    <row r="129" spans="1:65" x14ac:dyDescent="0.2">
      <c r="A129" s="140">
        <v>54</v>
      </c>
      <c r="B129" s="155">
        <f ca="1">TblImps[[#This Row],[Time]]</f>
        <v>44876.20833333303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695161</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68530</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315</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2]]/2,0),)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685.30000000000007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44876.20833333303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695161</v>
      </c>
      <c r="BJ129" s="97">
        <f ca="1">TblProd[[#This Row],[Food]]</f>
        <v>147186</v>
      </c>
      <c r="BK129" s="97">
        <f ca="1">TblProd[[#This Row],[Lumber]]</f>
        <v>68530</v>
      </c>
      <c r="BL129" s="97">
        <f ca="1">TblProd[[#This Row],[Mana]]</f>
        <v>0</v>
      </c>
      <c r="BM129" s="97">
        <f ca="1">TblProd[[#This Row],[Ore]]</f>
        <v>0</v>
      </c>
    </row>
    <row r="130" spans="1:65" x14ac:dyDescent="0.2">
      <c r="A130" s="140">
        <v>55</v>
      </c>
      <c r="B130" s="155">
        <f ca="1">TblImps[[#This Row],[Time]]</f>
        <v>44876.249999999694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700647</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68845</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312</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2]]/2,0),)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688.45</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44876.249999999694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700647</v>
      </c>
      <c r="BJ130" s="97">
        <f ca="1">TblProd[[#This Row],[Food]]</f>
        <v>147705</v>
      </c>
      <c r="BK130" s="97">
        <f ca="1">TblProd[[#This Row],[Lumber]]</f>
        <v>68845</v>
      </c>
      <c r="BL130" s="97">
        <f ca="1">TblProd[[#This Row],[Mana]]</f>
        <v>0</v>
      </c>
      <c r="BM130" s="97">
        <f ca="1">TblProd[[#This Row],[Ore]]</f>
        <v>0</v>
      </c>
    </row>
    <row r="131" spans="1:65" x14ac:dyDescent="0.2">
      <c r="A131" s="140">
        <v>56</v>
      </c>
      <c r="B131" s="155">
        <f ca="1">TblImps[[#This Row],[Time]]</f>
        <v>44876.291666666359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706133</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69157</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308</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2]]/2,0),)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691.57</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44876.291666666359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706133</v>
      </c>
      <c r="BJ131" s="97">
        <f ca="1">TblProd[[#This Row],[Food]]</f>
        <v>148218</v>
      </c>
      <c r="BK131" s="97">
        <f ca="1">TblProd[[#This Row],[Lumber]]</f>
        <v>69157</v>
      </c>
      <c r="BL131" s="97">
        <f ca="1">TblProd[[#This Row],[Mana]]</f>
        <v>0</v>
      </c>
      <c r="BM131" s="97">
        <f ca="1">TblProd[[#This Row],[Ore]]</f>
        <v>0</v>
      </c>
    </row>
    <row r="132" spans="1:65" x14ac:dyDescent="0.2">
      <c r="A132" s="140">
        <v>57</v>
      </c>
      <c r="B132" s="155">
        <f ca="1">TblImps[[#This Row],[Time]]</f>
        <v>44876.333333333023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711619</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69465</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305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2]]/2,0),)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694.65</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44876.333333333023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711619</v>
      </c>
      <c r="BJ132" s="97">
        <f ca="1">TblProd[[#This Row],[Food]]</f>
        <v>148726</v>
      </c>
      <c r="BK132" s="97">
        <f ca="1">TblProd[[#This Row],[Lumber]]</f>
        <v>69465</v>
      </c>
      <c r="BL132" s="97">
        <f ca="1">TblProd[[#This Row],[Mana]]</f>
        <v>0</v>
      </c>
      <c r="BM132" s="97">
        <f ca="1">TblProd[[#This Row],[Ore]]</f>
        <v>0</v>
      </c>
    </row>
    <row r="133" spans="1:65" x14ac:dyDescent="0.2">
      <c r="A133" s="140">
        <v>58</v>
      </c>
      <c r="B133" s="155">
        <f ca="1">TblImps[[#This Row],[Time]]</f>
        <v>44876.374999999687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717105</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69770</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302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2]]/2,0),)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697.7</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44876.374999999687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717105</v>
      </c>
      <c r="BJ133" s="97">
        <f ca="1">TblProd[[#This Row],[Food]]</f>
        <v>149229</v>
      </c>
      <c r="BK133" s="97">
        <f ca="1">TblProd[[#This Row],[Lumber]]</f>
        <v>69770</v>
      </c>
      <c r="BL133" s="97">
        <f ca="1">TblProd[[#This Row],[Mana]]</f>
        <v>0</v>
      </c>
      <c r="BM133" s="97">
        <f ca="1">TblProd[[#This Row],[Ore]]</f>
        <v>0</v>
      </c>
    </row>
    <row r="134" spans="1:65" x14ac:dyDescent="0.2">
      <c r="A134" s="140">
        <v>59</v>
      </c>
      <c r="B134" s="155">
        <f ca="1">TblImps[[#This Row],[Time]]</f>
        <v>44876.416666666351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722591</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70072</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299</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2]]/2,0),)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700.72</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44876.416666666351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722591</v>
      </c>
      <c r="BJ134" s="97">
        <f ca="1">TblProd[[#This Row],[Food]]</f>
        <v>149727</v>
      </c>
      <c r="BK134" s="97">
        <f ca="1">TblProd[[#This Row],[Lumber]]</f>
        <v>70072</v>
      </c>
      <c r="BL134" s="97">
        <f ca="1">TblProd[[#This Row],[Mana]]</f>
        <v>0</v>
      </c>
      <c r="BM134" s="97">
        <f ca="1">TblProd[[#This Row],[Ore]]</f>
        <v>0</v>
      </c>
    </row>
    <row r="135" spans="1:65" x14ac:dyDescent="0.2">
      <c r="A135" s="140">
        <v>60</v>
      </c>
      <c r="B135" s="155">
        <f ca="1">TblImps[[#This Row],[Time]]</f>
        <v>44876.458333333016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728077</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70371</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296</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2]]/2,0),)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703.71</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44876.458333333016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728077</v>
      </c>
      <c r="BJ135" s="97">
        <f ca="1">TblProd[[#This Row],[Food]]</f>
        <v>150220</v>
      </c>
      <c r="BK135" s="97">
        <f ca="1">TblProd[[#This Row],[Lumber]]</f>
        <v>70371</v>
      </c>
      <c r="BL135" s="97">
        <f ca="1">TblProd[[#This Row],[Mana]]</f>
        <v>0</v>
      </c>
      <c r="BM135" s="97">
        <f ca="1">TblProd[[#This Row],[Ore]]</f>
        <v>0</v>
      </c>
    </row>
    <row r="136" spans="1:65" x14ac:dyDescent="0.2">
      <c r="A136" s="140">
        <v>61</v>
      </c>
      <c r="B136" s="155">
        <f ca="1">TblImps[[#This Row],[Time]]</f>
        <v>44876.49999999968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733563</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70667</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293</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2]]/2,0),)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706.67</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44876.49999999968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733563</v>
      </c>
      <c r="BJ136" s="97">
        <f ca="1">TblProd[[#This Row],[Food]]</f>
        <v>150708</v>
      </c>
      <c r="BK136" s="97">
        <f ca="1">TblProd[[#This Row],[Lumber]]</f>
        <v>70667</v>
      </c>
      <c r="BL136" s="97">
        <f ca="1">TblProd[[#This Row],[Mana]]</f>
        <v>0</v>
      </c>
      <c r="BM136" s="97">
        <f ca="1">TblProd[[#This Row],[Ore]]</f>
        <v>0</v>
      </c>
    </row>
    <row r="1269" spans="3:12" x14ac:dyDescent="0.2">
      <c r="C1269" s="495" t="s">
        <v>321</v>
      </c>
      <c r="D1269" s="448"/>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bestFit="1" customWidth="1"/>
    <col min="42" max="42" width="10.85546875" style="45" bestFit="1" customWidth="1"/>
    <col min="43" max="44" width="8.7109375" style="45" bestFit="1" customWidth="1"/>
    <col min="45" max="45" width="8.140625" style="45" bestFit="1" customWidth="1"/>
    <col min="46" max="46" width="8.5703125" style="45" bestFit="1"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bestFit="1" customWidth="1"/>
    <col min="96" max="96" width="9" style="57" bestFit="1" customWidth="1"/>
    <col min="97" max="97" width="11.85546875" style="57" bestFit="1" customWidth="1"/>
    <col min="98" max="98" width="6.85546875" style="57" bestFit="1" customWidth="1"/>
    <col min="99" max="99" width="9.7109375" style="57" bestFit="1" customWidth="1"/>
    <col min="100" max="100" width="9.5703125" style="57" bestFit="1" customWidth="1"/>
    <col min="101" max="101" width="9" style="57" bestFit="1" customWidth="1"/>
    <col min="102" max="102" width="11.85546875" style="45" customWidth="1"/>
    <col min="103" max="103" width="2.7109375" style="45" customWidth="1"/>
    <col min="104" max="114" width="10.7109375" style="45" customWidth="1"/>
    <col min="115" max="16384" width="9.140625" style="45"/>
  </cols>
  <sheetData>
    <row r="1" spans="1:114" x14ac:dyDescent="0.2">
      <c r="A1" s="176"/>
      <c r="B1" s="176"/>
      <c r="C1" s="176"/>
      <c r="D1" s="5"/>
      <c r="E1" s="5"/>
      <c r="F1" s="28"/>
      <c r="G1" s="28" t="s">
        <v>54</v>
      </c>
      <c r="H1" s="28"/>
      <c r="I1" s="28"/>
      <c r="J1" s="28"/>
      <c r="K1" s="28"/>
      <c r="L1" s="28"/>
      <c r="M1" s="28"/>
      <c r="N1" s="28"/>
      <c r="O1" s="498" t="s">
        <v>56</v>
      </c>
      <c r="P1" s="498"/>
      <c r="Q1" s="448"/>
      <c r="R1" s="5"/>
      <c r="S1" s="5"/>
      <c r="T1" s="5"/>
      <c r="U1" s="5"/>
      <c r="V1" s="5"/>
      <c r="W1" s="5"/>
      <c r="X1" s="5"/>
      <c r="Y1" s="5"/>
      <c r="Z1" s="5"/>
      <c r="AA1" s="5"/>
      <c r="AB1" s="5"/>
      <c r="AC1" s="5"/>
      <c r="AD1" s="5"/>
      <c r="AE1" s="5"/>
      <c r="AF1" s="5"/>
      <c r="AG1" s="5"/>
      <c r="AH1" s="5"/>
      <c r="AI1" s="177" t="s">
        <v>522</v>
      </c>
      <c r="AJ1" s="177" t="s">
        <v>525</v>
      </c>
      <c r="AK1" s="498" t="s">
        <v>77</v>
      </c>
      <c r="AL1" s="498"/>
      <c r="AM1" s="496" t="s">
        <v>523</v>
      </c>
      <c r="AN1" s="496"/>
      <c r="AO1" s="496" t="s">
        <v>524</v>
      </c>
      <c r="AP1" s="496"/>
      <c r="AQ1" s="496" t="s">
        <v>521</v>
      </c>
      <c r="AR1" s="496"/>
      <c r="AS1" s="5"/>
      <c r="AT1" s="5"/>
      <c r="AU1" s="5"/>
      <c r="AV1" s="5" t="s">
        <v>520</v>
      </c>
      <c r="AW1" s="5"/>
      <c r="AX1" s="5"/>
      <c r="AY1" s="496" t="s">
        <v>53</v>
      </c>
      <c r="AZ1" s="496"/>
      <c r="BA1" s="496"/>
      <c r="BB1" s="28"/>
      <c r="BC1" s="28"/>
      <c r="BD1" s="28"/>
      <c r="BE1" s="28"/>
      <c r="BF1" s="28"/>
      <c r="BG1" s="28"/>
      <c r="BH1" s="28"/>
      <c r="BI1" s="28"/>
      <c r="BJ1" s="28"/>
      <c r="BK1" s="28"/>
      <c r="BL1" s="28"/>
      <c r="BM1" s="28"/>
      <c r="BN1" s="28"/>
      <c r="BO1" s="28"/>
      <c r="BP1" s="28"/>
      <c r="BQ1" s="28"/>
      <c r="BR1" s="5"/>
      <c r="BS1" s="5"/>
      <c r="BT1" s="5"/>
      <c r="BU1" s="5"/>
      <c r="BV1" s="5"/>
      <c r="BW1" s="498" t="s">
        <v>84</v>
      </c>
      <c r="BX1" s="498"/>
      <c r="BY1" s="5"/>
      <c r="BZ1" s="5"/>
      <c r="CA1" s="5"/>
      <c r="CB1" s="5"/>
      <c r="CC1" s="5"/>
      <c r="CD1" s="5"/>
      <c r="CE1" s="5"/>
      <c r="CF1" s="5"/>
      <c r="CG1" s="5"/>
      <c r="CH1" s="5"/>
      <c r="CI1" s="5"/>
      <c r="CJ1" s="5"/>
      <c r="CK1" s="5"/>
      <c r="CL1" s="5"/>
      <c r="CM1" s="5"/>
      <c r="CN1" s="5"/>
      <c r="CO1" s="5"/>
      <c r="CP1" s="5"/>
      <c r="CQ1" s="496" t="s">
        <v>18</v>
      </c>
      <c r="CR1" s="496"/>
      <c r="CS1" s="28"/>
      <c r="CT1" s="28"/>
      <c r="CU1" s="28"/>
      <c r="CV1" s="28"/>
      <c r="CW1" s="28"/>
      <c r="CX1" s="5"/>
      <c r="CY1" s="5"/>
      <c r="CZ1" s="498" t="s">
        <v>300</v>
      </c>
      <c r="DA1" s="498"/>
      <c r="DB1" s="498"/>
      <c r="DC1" s="498"/>
      <c r="DD1" s="498"/>
      <c r="DE1" s="5"/>
      <c r="DF1" s="5"/>
      <c r="DG1" s="498" t="s">
        <v>263</v>
      </c>
      <c r="DH1" s="498"/>
      <c r="DI1" s="5" t="s">
        <v>540</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1024</v>
      </c>
      <c r="E3" s="138" t="s">
        <v>791</v>
      </c>
      <c r="F3" s="138" t="s">
        <v>1</v>
      </c>
      <c r="G3" s="173" t="s">
        <v>249</v>
      </c>
      <c r="H3" s="138" t="s">
        <v>58</v>
      </c>
      <c r="I3" s="138" t="s">
        <v>251</v>
      </c>
      <c r="J3" s="138" t="s">
        <v>250</v>
      </c>
      <c r="K3" s="138" t="s">
        <v>60</v>
      </c>
      <c r="L3" s="138" t="s">
        <v>248</v>
      </c>
      <c r="M3" s="138" t="s">
        <v>62</v>
      </c>
      <c r="N3" s="138" t="s">
        <v>1068</v>
      </c>
      <c r="O3" s="174" t="s">
        <v>72</v>
      </c>
      <c r="P3" s="174" t="s">
        <v>71</v>
      </c>
      <c r="Q3" s="174" t="s">
        <v>70</v>
      </c>
      <c r="R3" s="174" t="s">
        <v>69</v>
      </c>
      <c r="S3" s="174" t="s">
        <v>68</v>
      </c>
      <c r="T3" s="174" t="s">
        <v>63</v>
      </c>
      <c r="U3" s="174" t="s">
        <v>353</v>
      </c>
      <c r="V3" s="174" t="s">
        <v>64</v>
      </c>
      <c r="W3" s="174" t="s">
        <v>65</v>
      </c>
      <c r="X3" s="174" t="s">
        <v>66</v>
      </c>
      <c r="Y3" s="174" t="s">
        <v>67</v>
      </c>
      <c r="Z3" s="174" t="s">
        <v>355</v>
      </c>
      <c r="AA3" s="174" t="s">
        <v>358</v>
      </c>
      <c r="AB3" s="174" t="s">
        <v>74</v>
      </c>
      <c r="AC3" s="174" t="s">
        <v>356</v>
      </c>
      <c r="AD3" s="174" t="s">
        <v>302</v>
      </c>
      <c r="AE3" s="174" t="s">
        <v>75</v>
      </c>
      <c r="AF3" s="174" t="s">
        <v>376</v>
      </c>
      <c r="AG3" s="174" t="s">
        <v>76</v>
      </c>
      <c r="AH3" s="138" t="s">
        <v>368</v>
      </c>
      <c r="AI3" s="138" t="s">
        <v>833</v>
      </c>
      <c r="AJ3" s="138" t="s">
        <v>834</v>
      </c>
      <c r="AK3" s="138" t="s">
        <v>2</v>
      </c>
      <c r="AL3" s="138" t="s">
        <v>7</v>
      </c>
      <c r="AM3" s="138" t="s">
        <v>829</v>
      </c>
      <c r="AN3" s="138" t="s">
        <v>830</v>
      </c>
      <c r="AO3" s="138" t="s">
        <v>831</v>
      </c>
      <c r="AP3" s="138" t="s">
        <v>832</v>
      </c>
      <c r="AQ3" s="138" t="s">
        <v>1056</v>
      </c>
      <c r="AR3" s="138" t="s">
        <v>1057</v>
      </c>
      <c r="AS3" s="138" t="s">
        <v>526</v>
      </c>
      <c r="AT3" s="138" t="s">
        <v>527</v>
      </c>
      <c r="AU3" s="138" t="s">
        <v>792</v>
      </c>
      <c r="AV3" s="138" t="s">
        <v>835</v>
      </c>
      <c r="AW3" s="138" t="s">
        <v>836</v>
      </c>
      <c r="AX3" s="138" t="s">
        <v>793</v>
      </c>
      <c r="AY3" s="173" t="s">
        <v>837</v>
      </c>
      <c r="AZ3" s="138" t="s">
        <v>838</v>
      </c>
      <c r="BA3" s="138" t="s">
        <v>839</v>
      </c>
      <c r="BB3" s="138" t="s">
        <v>840</v>
      </c>
      <c r="BC3" s="138" t="s">
        <v>841</v>
      </c>
      <c r="BD3" s="138" t="s">
        <v>842</v>
      </c>
      <c r="BE3" s="138" t="s">
        <v>843</v>
      </c>
      <c r="BF3" s="138" t="s">
        <v>844</v>
      </c>
      <c r="BG3" s="138" t="s">
        <v>845</v>
      </c>
      <c r="BH3" s="138" t="s">
        <v>846</v>
      </c>
      <c r="BI3" s="138" t="s">
        <v>847</v>
      </c>
      <c r="BJ3" s="138" t="s">
        <v>848</v>
      </c>
      <c r="BK3" s="138" t="s">
        <v>849</v>
      </c>
      <c r="BL3" s="138" t="s">
        <v>850</v>
      </c>
      <c r="BM3" s="138" t="s">
        <v>851</v>
      </c>
      <c r="BN3" s="138" t="s">
        <v>852</v>
      </c>
      <c r="BO3" s="138" t="s">
        <v>853</v>
      </c>
      <c r="BP3" s="138" t="s">
        <v>854</v>
      </c>
      <c r="BQ3" s="175" t="s">
        <v>855</v>
      </c>
      <c r="BR3" s="138" t="s">
        <v>808</v>
      </c>
      <c r="BS3" s="138" t="s">
        <v>809</v>
      </c>
      <c r="BT3" s="138" t="s">
        <v>900</v>
      </c>
      <c r="BU3" s="138" t="s">
        <v>878</v>
      </c>
      <c r="BV3" s="138" t="s">
        <v>810</v>
      </c>
      <c r="BW3" s="138" t="s">
        <v>1039</v>
      </c>
      <c r="BX3" s="138" t="s">
        <v>921</v>
      </c>
      <c r="BY3" s="138" t="s">
        <v>922</v>
      </c>
      <c r="BZ3" s="138" t="s">
        <v>923</v>
      </c>
      <c r="CA3" s="138" t="s">
        <v>924</v>
      </c>
      <c r="CB3" s="138" t="s">
        <v>925</v>
      </c>
      <c r="CC3" s="138" t="s">
        <v>926</v>
      </c>
      <c r="CD3" s="138" t="s">
        <v>927</v>
      </c>
      <c r="CE3" s="138" t="s">
        <v>928</v>
      </c>
      <c r="CF3" s="138" t="s">
        <v>929</v>
      </c>
      <c r="CG3" s="138" t="s">
        <v>930</v>
      </c>
      <c r="CH3" s="138" t="s">
        <v>931</v>
      </c>
      <c r="CI3" s="138" t="s">
        <v>932</v>
      </c>
      <c r="CJ3" s="138" t="s">
        <v>933</v>
      </c>
      <c r="CK3" s="138" t="s">
        <v>934</v>
      </c>
      <c r="CL3" s="138" t="s">
        <v>935</v>
      </c>
      <c r="CM3" s="138" t="s">
        <v>936</v>
      </c>
      <c r="CN3" s="138" t="s">
        <v>937</v>
      </c>
      <c r="CO3" s="138" t="s">
        <v>938</v>
      </c>
      <c r="CP3" s="138" t="s">
        <v>884</v>
      </c>
      <c r="CQ3" s="138" t="s">
        <v>821</v>
      </c>
      <c r="CR3" s="138" t="s">
        <v>822</v>
      </c>
      <c r="CS3" s="138" t="s">
        <v>823</v>
      </c>
      <c r="CT3" s="138" t="s">
        <v>824</v>
      </c>
      <c r="CU3" s="138" t="s">
        <v>825</v>
      </c>
      <c r="CV3" s="138" t="s">
        <v>826</v>
      </c>
      <c r="CW3" s="138" t="s">
        <v>827</v>
      </c>
      <c r="CX3" s="138" t="s">
        <v>263</v>
      </c>
      <c r="CY3" s="138" t="s">
        <v>885</v>
      </c>
      <c r="CZ3" s="138" t="s">
        <v>889</v>
      </c>
      <c r="DA3" s="138" t="s">
        <v>890</v>
      </c>
      <c r="DB3" s="138" t="s">
        <v>891</v>
      </c>
      <c r="DC3" s="138" t="s">
        <v>892</v>
      </c>
      <c r="DD3" s="138" t="s">
        <v>893</v>
      </c>
      <c r="DE3" s="138" t="s">
        <v>894</v>
      </c>
      <c r="DF3" s="138" t="s">
        <v>895</v>
      </c>
      <c r="DG3" s="138" t="s">
        <v>828</v>
      </c>
      <c r="DH3" s="138" t="s">
        <v>301</v>
      </c>
      <c r="DI3" s="138" t="s">
        <v>541</v>
      </c>
      <c r="DJ3" s="138" t="s">
        <v>542</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44871</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44871</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44871.041666666664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44871.041666666664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44871.083333333328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44871.083333333328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44871.124999999993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44871.124999999993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44871.166666666657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44871.166666666657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44871.208333333321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44871.208333333321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44871.249999999985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44871.249999999985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44871.29166666665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44871.29166666665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44871.333333333314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44871.333333333314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44871.374999999978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44871.374999999978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44871.416666666642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44871.416666666642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44871.458333333307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44871.458333333307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44871.499999999971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44871.499999999971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44871.541666666635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44871.541666666635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44871.583333333299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44871.583333333299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44871.624999999964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44871.624999999964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44871.666666666628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44871.666666666628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44871.708333333292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44871.708333333292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44871.749999999956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44871.749999999956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44871.791666666621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44871.791666666621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44871.833333333285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44871.833333333285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44871.874999999949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44871.874999999949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44871.916666666613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44871.916666666613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44871.958333333278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44871.958333333278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44871.999999999942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44871.999999999942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44872.041666666606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44872.041666666606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44872.08333333327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44872.08333333327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44872.124999999935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44872.124999999935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44872.166666666599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44872.166666666599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44872.208333333263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44872.208333333263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44872.249999999927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44872.249999999927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44872.291666666591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44872.291666666591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44872.333333333256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44872.333333333256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44872.37499999992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44872.37499999992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44872.416666666584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44872.416666666584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44872.458333333248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44872.458333333248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44872.499999999913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44872.499999999913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44872.541666666577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44872.541666666577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44872.583333333241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44872.583333333241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44872.624999999905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44872.624999999905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44872.66666666657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44872.66666666657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44872.708333333234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44872.708333333234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44872.749999999898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44872.749999999898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44872.791666666562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44872.791666666562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44872.833333333227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44872.833333333227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44872.874999999891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44872.874999999891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44872.916666666555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44872.916666666555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44872.958333333219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44872.958333333219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44872.999999999884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44872.999999999884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44873.041666666548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44873.041666666548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44873.083333333212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44873.083333333212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44873.124999999876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44873.124999999876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44873.166666666541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44873.166666666541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44873.208333333205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44873.208333333205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44873.249999999869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44873.249999999869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44873.291666666533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44873.291666666533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44873.333333333198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353183</v>
      </c>
      <c r="AL60" s="97">
        <f ca="1">TblProd[[#This Row],[Lumber]]</f>
        <v>43183</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v>54911</v>
      </c>
      <c r="AR60" s="45">
        <v>8399</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44873.333333333198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44873.374999999862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352891</v>
      </c>
      <c r="AL61" s="97">
        <f ca="1">TblProd[[#This Row],[Lumber]]</f>
        <v>42868</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v>5778</v>
      </c>
      <c r="AR61" s="45">
        <v>883</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44873.374999999862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44873.416666666526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352439</v>
      </c>
      <c r="AL62" s="97">
        <f ca="1">TblProd[[#This Row],[Lumber]]</f>
        <v>42531</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v>5938</v>
      </c>
      <c r="AR62" s="45">
        <v>908</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44873.416666666526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44873.45833333319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351827</v>
      </c>
      <c r="AL63" s="97">
        <f ca="1">TblProd[[#This Row],[Lumber]]</f>
        <v>42173</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v>6098</v>
      </c>
      <c r="AR63" s="45">
        <v>933</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44873.45833333319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44873.499999999854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357313</v>
      </c>
      <c r="AL64" s="97">
        <f ca="1">TblProd[[#This Row],[Lumber]]</f>
        <v>42751</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44873.499999999854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44873.541666666519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362799</v>
      </c>
      <c r="AL65" s="97">
        <f ca="1">TblProd[[#This Row],[Lumber]]</f>
        <v>43323</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44873.541666666519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44873.583333333183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368285</v>
      </c>
      <c r="AL66" s="97">
        <f ca="1">TblProd[[#This Row],[Lumber]]</f>
        <v>43890</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44873.583333333183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44873.624999999847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373771</v>
      </c>
      <c r="AL67" s="97">
        <f ca="1">TblProd[[#This Row],[Lumber]]</f>
        <v>44451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44873.624999999847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44873.666666666511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379257</v>
      </c>
      <c r="AL68" s="97">
        <f ca="1">TblProd[[#This Row],[Lumber]]</f>
        <v>45006</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44873.666666666511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44873.708333333176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384743</v>
      </c>
      <c r="AL69" s="97">
        <f ca="1">TblProd[[#This Row],[Lumber]]</f>
        <v>45556</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44873.708333333176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44873.74999999984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390229</v>
      </c>
      <c r="AL70" s="97">
        <f ca="1">TblProd[[#This Row],[Lumber]]</f>
        <v>46100</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44873.74999999984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44873.791666666504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395715</v>
      </c>
      <c r="AL71" s="97">
        <f ca="1">TblProd[[#This Row],[Lumber]]</f>
        <v>46639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44873.791666666504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44873.833333333168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401201</v>
      </c>
      <c r="AL72" s="97">
        <f ca="1">TblProd[[#This Row],[Lumber]]</f>
        <v>47173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44873.833333333168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44873.874999999833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406687</v>
      </c>
      <c r="AL73" s="97">
        <f ca="1">TblProd[[#This Row],[Lumber]]</f>
        <v>47701</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44873.874999999833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44873.916666666497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412173</v>
      </c>
      <c r="AL74" s="97">
        <f ca="1">TblProd[[#This Row],[Lumber]]</f>
        <v>48224</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44873.916666666497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44873.958333333161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417659</v>
      </c>
      <c r="AL75" s="97">
        <f ca="1">TblProd[[#This Row],[Lumber]]</f>
        <v>48742</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44873.958333333161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44873.999999999825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404403</v>
      </c>
      <c r="AL76" s="210">
        <f ca="1">TblProd[[#This Row],[Lumber]]</f>
        <v>46389</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v>18742</v>
      </c>
      <c r="AR76" s="45">
        <v>2866</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44873.999999999825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44874.04166666649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409889</v>
      </c>
      <c r="AL77" s="97">
        <f ca="1">TblProd[[#This Row],[Lumber]]</f>
        <v>46925</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44874.04166666649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44874.083333333154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415375</v>
      </c>
      <c r="AL78" s="97">
        <f ca="1">TblProd[[#This Row],[Lumber]]</f>
        <v>47456</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44874.083333333154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44874.124999999818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420861</v>
      </c>
      <c r="AL79" s="97">
        <f ca="1">TblProd[[#This Row],[Lumber]]</f>
        <v>47981</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44874.124999999818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44874.166666666482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426347</v>
      </c>
      <c r="AL80" s="97">
        <f ca="1">TblProd[[#This Row],[Lumber]]</f>
        <v>48501</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44874.166666666482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44874.208333333147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431833</v>
      </c>
      <c r="AL81" s="97">
        <f ca="1">TblProd[[#This Row],[Lumber]]</f>
        <v>49016</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44874.208333333147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44874.249999999811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437319</v>
      </c>
      <c r="AL82" s="97">
        <f ca="1">TblProd[[#This Row],[Lumber]]</f>
        <v>49526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44874.249999999811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44874.291666666475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442805</v>
      </c>
      <c r="AL83" s="97">
        <f ca="1">TblProd[[#This Row],[Lumber]]</f>
        <v>50031</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44874.291666666475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44874.333333333139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448291</v>
      </c>
      <c r="AL84" s="97">
        <f ca="1">TblProd[[#This Row],[Lumber]]</f>
        <v>50531</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44874.333333333139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44874.374999999804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453777</v>
      </c>
      <c r="AL85" s="97">
        <f ca="1">TblProd[[#This Row],[Lumber]]</f>
        <v>51026</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44874.374999999804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44874.416666666468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459263</v>
      </c>
      <c r="AL86" s="97">
        <f ca="1">TblProd[[#This Row],[Lumber]]</f>
        <v>51516</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44874.416666666468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44874.458333333132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464749</v>
      </c>
      <c r="AL87" s="97">
        <f ca="1">TblProd[[#This Row],[Lumber]]</f>
        <v>52001</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44874.458333333132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44874.499999999796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470235</v>
      </c>
      <c r="AL88" s="97">
        <f ca="1">TblProd[[#This Row],[Lumber]]</f>
        <v>52481</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44874.499999999796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44874.541666666461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475721</v>
      </c>
      <c r="AL89" s="97">
        <f ca="1">TblProd[[#This Row],[Lumber]]</f>
        <v>52956</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44874.541666666461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44874.583333333125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481207</v>
      </c>
      <c r="AL90" s="97">
        <f ca="1">TblProd[[#This Row],[Lumber]]</f>
        <v>53426</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44874.583333333125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44874.624999999789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486693</v>
      </c>
      <c r="AL91" s="97">
        <f ca="1">TblProd[[#This Row],[Lumber]]</f>
        <v>53892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44874.624999999789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44874.666666666453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492179</v>
      </c>
      <c r="AL92" s="97">
        <f ca="1">TblProd[[#This Row],[Lumber]]</f>
        <v>54353</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44874.666666666453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44874.708333333117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497665</v>
      </c>
      <c r="AL93" s="97">
        <f ca="1">TblProd[[#This Row],[Lumber]]</f>
        <v>54809</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44874.708333333117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44874.749999999782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503151</v>
      </c>
      <c r="AL94" s="97">
        <f ca="1">TblProd[[#This Row],[Lumber]]</f>
        <v>55261</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44874.749999999782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44874.791666666446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508637</v>
      </c>
      <c r="AL95" s="97">
        <f ca="1">TblProd[[#This Row],[Lumber]]</f>
        <v>55708</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44874.791666666446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44874.83333333311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514123</v>
      </c>
      <c r="AL96" s="97">
        <f ca="1">TblProd[[#This Row],[Lumber]]</f>
        <v>56151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44874.83333333311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44874.874999999774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519609</v>
      </c>
      <c r="AL97" s="97">
        <f ca="1">TblProd[[#This Row],[Lumber]]</f>
        <v>56589</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44874.874999999774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44874.916666666439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525095</v>
      </c>
      <c r="AL98" s="97">
        <f ca="1">TblProd[[#This Row],[Lumber]]</f>
        <v>57023</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44874.916666666439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44874.958333333103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530581</v>
      </c>
      <c r="AL99" s="97">
        <f ca="1">TblProd[[#This Row],[Lumber]]</f>
        <v>57453</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44874.958333333103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44874.999999999767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536067</v>
      </c>
      <c r="AL100" s="97">
        <f ca="1">TblProd[[#This Row],[Lumber]]</f>
        <v>57878</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44874.999999999767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44875.041666666431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541553</v>
      </c>
      <c r="AL101" s="97">
        <f ca="1">TblProd[[#This Row],[Lumber]]</f>
        <v>58299</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44875.041666666431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44875.083333333096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547039</v>
      </c>
      <c r="AL102" s="97">
        <f ca="1">TblProd[[#This Row],[Lumber]]</f>
        <v>58716</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44875.083333333096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44875.12499999976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552525</v>
      </c>
      <c r="AL103" s="97">
        <f ca="1">TblProd[[#This Row],[Lumber]]</f>
        <v>59129</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44875.12499999976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44875.166666666424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558011</v>
      </c>
      <c r="AL104" s="97">
        <f ca="1">TblProd[[#This Row],[Lumber]]</f>
        <v>59538</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44875.166666666424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44875.208333333088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563497</v>
      </c>
      <c r="AL105" s="97">
        <f ca="1">TblProd[[#This Row],[Lumber]]</f>
        <v>59943</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44875.208333333088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44875.249999999753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568983</v>
      </c>
      <c r="AL106" s="97">
        <f ca="1">TblProd[[#This Row],[Lumber]]</f>
        <v>60344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44875.249999999753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44875.291666666417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574469</v>
      </c>
      <c r="AL107" s="97">
        <f ca="1">TblProd[[#This Row],[Lumber]]</f>
        <v>60741</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44875.291666666417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44875.333333333081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579955</v>
      </c>
      <c r="AL108" s="97">
        <f ca="1">TblProd[[#This Row],[Lumber]]</f>
        <v>61134</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44875.333333333081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44875.374999999745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585441</v>
      </c>
      <c r="AL109" s="97">
        <f ca="1">TblProd[[#This Row],[Lumber]]</f>
        <v>61523</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44875.374999999745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44875.41666666641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590927</v>
      </c>
      <c r="AL110" s="97">
        <f ca="1">TblProd[[#This Row],[Lumber]]</f>
        <v>61908</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44875.41666666641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44875.458333333074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596413</v>
      </c>
      <c r="AL111" s="97">
        <f ca="1">TblProd[[#This Row],[Lumber]]</f>
        <v>62289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44875.458333333074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44875.499999999738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601899</v>
      </c>
      <c r="AL112" s="97">
        <f ca="1">TblProd[[#This Row],[Lumber]]</f>
        <v>62666</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44875.499999999738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44875.541666666402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607385</v>
      </c>
      <c r="AL113" s="97">
        <f ca="1">TblProd[[#This Row],[Lumber]]</f>
        <v>63039</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44875.541666666402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44875.583333333067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612871</v>
      </c>
      <c r="AL114" s="97">
        <f ca="1">TblProd[[#This Row],[Lumber]]</f>
        <v>63409</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44875.583333333067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44875.624999999731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618357</v>
      </c>
      <c r="AL115" s="97">
        <f ca="1">TblProd[[#This Row],[Lumber]]</f>
        <v>63775</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44875.624999999731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44875.666666666395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623843</v>
      </c>
      <c r="AL116" s="97">
        <f ca="1">TblProd[[#This Row],[Lumber]]</f>
        <v>64137</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44875.666666666395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44875.708333333059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629329</v>
      </c>
      <c r="AL117" s="97">
        <f ca="1">TblProd[[#This Row],[Lumber]]</f>
        <v>64496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44875.708333333059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44875.749999999724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634815</v>
      </c>
      <c r="AL118" s="97">
        <f ca="1">TblProd[[#This Row],[Lumber]]</f>
        <v>64851</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44875.749999999724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44875.791666666388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640301</v>
      </c>
      <c r="AL119" s="97">
        <f ca="1">TblProd[[#This Row],[Lumber]]</f>
        <v>65202</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44875.791666666388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44875.833333333052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645787</v>
      </c>
      <c r="AL120" s="97">
        <f ca="1">TblProd[[#This Row],[Lumber]]</f>
        <v>65550</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44875.833333333052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44875.874999999716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651273</v>
      </c>
      <c r="AL121" s="97">
        <f ca="1">TblProd[[#This Row],[Lumber]]</f>
        <v>65895</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44875.874999999716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44875.91666666638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656759</v>
      </c>
      <c r="AL122" s="97">
        <f ca="1">TblProd[[#This Row],[Lumber]]</f>
        <v>66236</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44875.91666666638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44875.958333333045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662245</v>
      </c>
      <c r="AL123" s="97">
        <f ca="1">TblProd[[#This Row],[Lumber]]</f>
        <v>66574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44875.958333333045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44875.999999999709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667731</v>
      </c>
      <c r="AL124" s="97">
        <f ca="1">TblProd[[#This Row],[Lumber]]</f>
        <v>66908</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44875.999999999709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44876.041666666373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673217</v>
      </c>
      <c r="AL125" s="97">
        <f ca="1">TblProd[[#This Row],[Lumber]]</f>
        <v>67239</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44876.041666666373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44876.083333333037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678703</v>
      </c>
      <c r="AL126" s="97">
        <f ca="1">TblProd[[#This Row],[Lumber]]</f>
        <v>67567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44876.083333333037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44876.124999999702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684189</v>
      </c>
      <c r="AL127" s="97">
        <f ca="1">TblProd[[#This Row],[Lumber]]</f>
        <v>67891</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44876.124999999702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44876.166666666366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689675</v>
      </c>
      <c r="AL128" s="97">
        <f ca="1">TblProd[[#This Row],[Lumber]]</f>
        <v>68212</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44876.166666666366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44876.20833333303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695161</v>
      </c>
      <c r="AL129" s="97">
        <f ca="1">TblProd[[#This Row],[Lumber]]</f>
        <v>68530</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44876.20833333303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44876.249999999694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700647</v>
      </c>
      <c r="AL130" s="97">
        <f ca="1">TblProd[[#This Row],[Lumber]]</f>
        <v>68845</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44876.249999999694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44876.291666666359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706133</v>
      </c>
      <c r="AL131" s="97">
        <f ca="1">TblProd[[#This Row],[Lumber]]</f>
        <v>69157</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44876.291666666359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44876.333333333023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711619</v>
      </c>
      <c r="AL132" s="97">
        <f ca="1">TblProd[[#This Row],[Lumber]]</f>
        <v>69465</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44876.333333333023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44876.374999999687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717105</v>
      </c>
      <c r="AL133" s="97">
        <f ca="1">TblProd[[#This Row],[Lumber]]</f>
        <v>69770</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44876.374999999687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44876.416666666351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722591</v>
      </c>
      <c r="AL134" s="97">
        <f ca="1">TblProd[[#This Row],[Lumber]]</f>
        <v>70072</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44876.416666666351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44876.458333333016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728077</v>
      </c>
      <c r="AL135" s="97">
        <f ca="1">TblProd[[#This Row],[Lumber]]</f>
        <v>70371</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44876.458333333016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44876.49999999968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733563</v>
      </c>
      <c r="AL136" s="97">
        <f ca="1">TblProd[[#This Row],[Lumber]]</f>
        <v>70667</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44876.49999999968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5" t="s">
        <v>321</v>
      </c>
      <c r="B1269" s="448"/>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7"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499" t="s">
        <v>306</v>
      </c>
      <c r="M1" s="448"/>
      <c r="N1" s="448"/>
      <c r="O1" s="448"/>
      <c r="P1" s="448"/>
      <c r="Q1" s="448"/>
      <c r="R1" s="28"/>
      <c r="S1" s="5" t="s">
        <v>360</v>
      </c>
      <c r="T1" s="5" t="s">
        <v>181</v>
      </c>
      <c r="AB1" s="498" t="s">
        <v>77</v>
      </c>
      <c r="AC1" s="498"/>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791</v>
      </c>
      <c r="D3" s="138" t="s">
        <v>55</v>
      </c>
      <c r="E3" s="138" t="s">
        <v>58</v>
      </c>
      <c r="F3" s="138" t="s">
        <v>1047</v>
      </c>
      <c r="G3" s="138" t="s">
        <v>59</v>
      </c>
      <c r="H3" s="138" t="s">
        <v>60</v>
      </c>
      <c r="I3" s="138" t="s">
        <v>61</v>
      </c>
      <c r="J3" s="138" t="s">
        <v>62</v>
      </c>
      <c r="K3" s="222" t="s">
        <v>896</v>
      </c>
      <c r="L3" s="222" t="s">
        <v>897</v>
      </c>
      <c r="M3" s="222" t="s">
        <v>898</v>
      </c>
      <c r="N3" s="223" t="s">
        <v>189</v>
      </c>
      <c r="O3" s="223" t="s">
        <v>370</v>
      </c>
      <c r="P3" s="223" t="s">
        <v>369</v>
      </c>
      <c r="Q3" s="138" t="s">
        <v>900</v>
      </c>
      <c r="R3" s="138" t="s">
        <v>873</v>
      </c>
      <c r="S3" s="138" t="s">
        <v>901</v>
      </c>
      <c r="T3" s="138" t="s">
        <v>1040</v>
      </c>
      <c r="U3" s="138" t="s">
        <v>1041</v>
      </c>
      <c r="V3" s="138" t="s">
        <v>1042</v>
      </c>
      <c r="W3" s="138" t="s">
        <v>1043</v>
      </c>
      <c r="X3" s="138" t="s">
        <v>1044</v>
      </c>
      <c r="Y3" s="138" t="s">
        <v>1045</v>
      </c>
      <c r="Z3" s="138" t="s">
        <v>1046</v>
      </c>
      <c r="AA3" s="138" t="s">
        <v>316</v>
      </c>
      <c r="AB3" s="138" t="s">
        <v>24</v>
      </c>
      <c r="AC3" s="138" t="s">
        <v>2</v>
      </c>
      <c r="AD3" s="138" t="s">
        <v>792</v>
      </c>
      <c r="AE3" s="138" t="s">
        <v>517</v>
      </c>
      <c r="AF3" s="138" t="s">
        <v>57</v>
      </c>
      <c r="AG3" s="138" t="s">
        <v>183</v>
      </c>
      <c r="AH3" s="138" t="s">
        <v>899</v>
      </c>
      <c r="AI3" s="138" t="s">
        <v>886</v>
      </c>
      <c r="AJ3" s="224" t="s">
        <v>779</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44871</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44871.041666666664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44871.083333333328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44871.124999999993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44871.166666666657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44871.208333333321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44871.249999999985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44871.29166666665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44871.333333333314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44871.374999999978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44871.416666666642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44871.458333333307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387</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44871.499999999971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374</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44871.541666666635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373</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44871.583333333299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371</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44871.624999999964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372</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44871.666666666628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44871.708333333292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44871.749999999956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44871.791666666621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44871.833333333285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388</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44871.874999999949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374</v>
      </c>
      <c r="M26" s="236">
        <f ca="1">Military!AP67</f>
        <v>373771</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44871.916666666613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373</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44871.958333333278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371</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44871.999999999942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372</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44872.041666666606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44872.08333333327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44872.124999999935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44872.166666666599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44872.208333333263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44872.249999999927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44872.291666666591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44872.333333333256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44872.37499999992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44872.416666666584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44872.458333333248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44872.499999999913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44872.541666666577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44872.583333333241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44872.624999999905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44872.66666666657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44872.708333333234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44872.749999999898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44872.791666666562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44872.833333333227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44872.874999999891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44872.916666666555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44872.958333333219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44872.999999999884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44873.041666666548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1066</v>
      </c>
      <c r="M54" s="398" t="s">
        <v>308</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44873.083333333212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44873.124999999876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44873.166666666541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44873.208333333205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44873.249999999869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44873.291666666533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44873.333333333198</v>
      </c>
      <c r="AB60" s="97">
        <f ca="1">TblMili[[#This Row],[Draftees]]</f>
        <v>626</v>
      </c>
      <c r="AC60" s="97">
        <f ca="1">TblProd[[#This Row],[Platinum]]</f>
        <v>353183</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44873.374999999862</v>
      </c>
      <c r="AB61" s="97">
        <f ca="1">TblMili[[#This Row],[Draftees]]</f>
        <v>626</v>
      </c>
      <c r="AC61" s="97">
        <f ca="1">TblProd[[#This Row],[Platinum]]</f>
        <v>352891</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44873.416666666526</v>
      </c>
      <c r="AB62" s="97">
        <f ca="1">TblMili[[#This Row],[Draftees]]</f>
        <v>626</v>
      </c>
      <c r="AC62" s="97">
        <f ca="1">TblProd[[#This Row],[Platinum]]</f>
        <v>352439</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44873.45833333319</v>
      </c>
      <c r="AB63" s="97">
        <f ca="1">TblMili[[#This Row],[Draftees]]</f>
        <v>626</v>
      </c>
      <c r="AC63" s="97">
        <f ca="1">TblProd[[#This Row],[Platinum]]</f>
        <v>351827</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44873.499999999854</v>
      </c>
      <c r="AB64" s="97">
        <f ca="1">TblMili[[#This Row],[Draftees]]</f>
        <v>626</v>
      </c>
      <c r="AC64" s="97">
        <f ca="1">TblProd[[#This Row],[Platinum]]</f>
        <v>357313</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44873.541666666519</v>
      </c>
      <c r="AB65" s="97">
        <f ca="1">TblMili[[#This Row],[Draftees]]</f>
        <v>626</v>
      </c>
      <c r="AC65" s="97">
        <f ca="1">TblProd[[#This Row],[Platinum]]</f>
        <v>362799</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44873.583333333183</v>
      </c>
      <c r="AB66" s="97">
        <f ca="1">TblMili[[#This Row],[Draftees]]</f>
        <v>626</v>
      </c>
      <c r="AC66" s="97">
        <f ca="1">TblProd[[#This Row],[Platinum]]</f>
        <v>368285</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44873.624999999847</v>
      </c>
      <c r="AB67" s="97">
        <f ca="1">TblMili[[#This Row],[Draftees]]</f>
        <v>626</v>
      </c>
      <c r="AC67" s="97">
        <f ca="1">TblProd[[#This Row],[Platinum]]</f>
        <v>373771</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44873.666666666511</v>
      </c>
      <c r="AB68" s="97">
        <f ca="1">TblMili[[#This Row],[Draftees]]</f>
        <v>626</v>
      </c>
      <c r="AC68" s="97">
        <f ca="1">TblProd[[#This Row],[Platinum]]</f>
        <v>379257</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44873.708333333176</v>
      </c>
      <c r="AB69" s="97">
        <f ca="1">TblMili[[#This Row],[Draftees]]</f>
        <v>626</v>
      </c>
      <c r="AC69" s="97">
        <f ca="1">TblProd[[#This Row],[Platinum]]</f>
        <v>384743</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44873.74999999984</v>
      </c>
      <c r="AB70" s="97">
        <f ca="1">TblMili[[#This Row],[Draftees]]</f>
        <v>626</v>
      </c>
      <c r="AC70" s="97">
        <f ca="1">TblProd[[#This Row],[Platinum]]</f>
        <v>390229</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44873.791666666504</v>
      </c>
      <c r="AB71" s="97">
        <f ca="1">TblMili[[#This Row],[Draftees]]</f>
        <v>626</v>
      </c>
      <c r="AC71" s="97">
        <f ca="1">TblProd[[#This Row],[Platinum]]</f>
        <v>395715</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44873.833333333168</v>
      </c>
      <c r="AB72" s="97">
        <f ca="1">TblMili[[#This Row],[Draftees]]</f>
        <v>626</v>
      </c>
      <c r="AC72" s="97">
        <f ca="1">TblProd[[#This Row],[Platinum]]</f>
        <v>401201</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44873.874999999833</v>
      </c>
      <c r="AB73" s="97">
        <f ca="1">TblMili[[#This Row],[Draftees]]</f>
        <v>626</v>
      </c>
      <c r="AC73" s="97">
        <f ca="1">TblProd[[#This Row],[Platinum]]</f>
        <v>406687</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44873.916666666497</v>
      </c>
      <c r="AB74" s="97">
        <f ca="1">TblMili[[#This Row],[Draftees]]</f>
        <v>626</v>
      </c>
      <c r="AC74" s="97">
        <f ca="1">TblProd[[#This Row],[Platinum]]</f>
        <v>412173</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44873.958333333161</v>
      </c>
      <c r="AB75" s="97">
        <f ca="1">TblMili[[#This Row],[Draftees]]</f>
        <v>626</v>
      </c>
      <c r="AC75" s="97">
        <f ca="1">TblProd[[#This Row],[Platinum]]</f>
        <v>417659</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44873.999999999825</v>
      </c>
      <c r="AB76" s="210">
        <f ca="1">TblMili[[#This Row],[Draftees]]</f>
        <v>626</v>
      </c>
      <c r="AC76" s="210">
        <f ca="1">TblProd[[#This Row],[Platinum]]</f>
        <v>404403</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44874.04166666649</v>
      </c>
      <c r="AB77" s="97">
        <f ca="1">TblMili[[#This Row],[Draftees]]</f>
        <v>626</v>
      </c>
      <c r="AC77" s="97">
        <f ca="1">TblProd[[#This Row],[Platinum]]</f>
        <v>409889</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44874.083333333154</v>
      </c>
      <c r="AB78" s="97">
        <f ca="1">TblMili[[#This Row],[Draftees]]</f>
        <v>626</v>
      </c>
      <c r="AC78" s="97">
        <f ca="1">TblProd[[#This Row],[Platinum]]</f>
        <v>415375</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44874.124999999818</v>
      </c>
      <c r="AB79" s="97">
        <f ca="1">TblMili[[#This Row],[Draftees]]</f>
        <v>626</v>
      </c>
      <c r="AC79" s="97">
        <f ca="1">TblProd[[#This Row],[Platinum]]</f>
        <v>420861</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44874.166666666482</v>
      </c>
      <c r="AB80" s="97">
        <f ca="1">TblMili[[#This Row],[Draftees]]</f>
        <v>626</v>
      </c>
      <c r="AC80" s="97">
        <f ca="1">TblProd[[#This Row],[Platinum]]</f>
        <v>426347</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44874.208333333147</v>
      </c>
      <c r="AB81" s="97">
        <f ca="1">TblMili[[#This Row],[Draftees]]</f>
        <v>626</v>
      </c>
      <c r="AC81" s="97">
        <f ca="1">TblProd[[#This Row],[Platinum]]</f>
        <v>431833</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44874.249999999811</v>
      </c>
      <c r="AB82" s="97">
        <f ca="1">TblMili[[#This Row],[Draftees]]</f>
        <v>626</v>
      </c>
      <c r="AC82" s="97">
        <f ca="1">TblProd[[#This Row],[Platinum]]</f>
        <v>437319</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44874.291666666475</v>
      </c>
      <c r="AB83" s="97">
        <f ca="1">TblMili[[#This Row],[Draftees]]</f>
        <v>626</v>
      </c>
      <c r="AC83" s="97">
        <f ca="1">TblProd[[#This Row],[Platinum]]</f>
        <v>442805</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44874.333333333139</v>
      </c>
      <c r="AB84" s="97">
        <f ca="1">TblMili[[#This Row],[Draftees]]</f>
        <v>626</v>
      </c>
      <c r="AC84" s="97">
        <f ca="1">TblProd[[#This Row],[Platinum]]</f>
        <v>448291</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44874.374999999804</v>
      </c>
      <c r="AB85" s="97">
        <f ca="1">TblMili[[#This Row],[Draftees]]</f>
        <v>626</v>
      </c>
      <c r="AC85" s="97">
        <f ca="1">TblProd[[#This Row],[Platinum]]</f>
        <v>453777</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44874.416666666468</v>
      </c>
      <c r="AB86" s="97">
        <f ca="1">TblMili[[#This Row],[Draftees]]</f>
        <v>626</v>
      </c>
      <c r="AC86" s="97">
        <f ca="1">TblProd[[#This Row],[Platinum]]</f>
        <v>459263</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44874.458333333132</v>
      </c>
      <c r="AB87" s="97">
        <f ca="1">TblMili[[#This Row],[Draftees]]</f>
        <v>626</v>
      </c>
      <c r="AC87" s="97">
        <f ca="1">TblProd[[#This Row],[Platinum]]</f>
        <v>464749</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44874.499999999796</v>
      </c>
      <c r="AB88" s="97">
        <f ca="1">TblMili[[#This Row],[Draftees]]</f>
        <v>626</v>
      </c>
      <c r="AC88" s="97">
        <f ca="1">TblProd[[#This Row],[Platinum]]</f>
        <v>470235</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44874.541666666461</v>
      </c>
      <c r="AB89" s="97">
        <f ca="1">TblMili[[#This Row],[Draftees]]</f>
        <v>626</v>
      </c>
      <c r="AC89" s="97">
        <f ca="1">TblProd[[#This Row],[Platinum]]</f>
        <v>475721</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44874.583333333125</v>
      </c>
      <c r="AB90" s="97">
        <f ca="1">TblMili[[#This Row],[Draftees]]</f>
        <v>626</v>
      </c>
      <c r="AC90" s="97">
        <f ca="1">TblProd[[#This Row],[Platinum]]</f>
        <v>481207</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44874.624999999789</v>
      </c>
      <c r="AB91" s="97">
        <f ca="1">TblMili[[#This Row],[Draftees]]</f>
        <v>626</v>
      </c>
      <c r="AC91" s="97">
        <f ca="1">TblProd[[#This Row],[Platinum]]</f>
        <v>486693</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44874.666666666453</v>
      </c>
      <c r="AB92" s="97">
        <f ca="1">TblMili[[#This Row],[Draftees]]</f>
        <v>626</v>
      </c>
      <c r="AC92" s="97">
        <f ca="1">TblProd[[#This Row],[Platinum]]</f>
        <v>492179</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44874.708333333117</v>
      </c>
      <c r="AB93" s="97">
        <f ca="1">TblMili[[#This Row],[Draftees]]</f>
        <v>626</v>
      </c>
      <c r="AC93" s="97">
        <f ca="1">TblProd[[#This Row],[Platinum]]</f>
        <v>497665</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44874.749999999782</v>
      </c>
      <c r="AB94" s="97">
        <f ca="1">TblMili[[#This Row],[Draftees]]</f>
        <v>626</v>
      </c>
      <c r="AC94" s="97">
        <f ca="1">TblProd[[#This Row],[Platinum]]</f>
        <v>503151</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44874.791666666446</v>
      </c>
      <c r="AB95" s="97">
        <f ca="1">TblMili[[#This Row],[Draftees]]</f>
        <v>626</v>
      </c>
      <c r="AC95" s="97">
        <f ca="1">TblProd[[#This Row],[Platinum]]</f>
        <v>508637</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44874.83333333311</v>
      </c>
      <c r="AB96" s="97">
        <f ca="1">TblMili[[#This Row],[Draftees]]</f>
        <v>626</v>
      </c>
      <c r="AC96" s="97">
        <f ca="1">TblProd[[#This Row],[Platinum]]</f>
        <v>514123</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44874.874999999774</v>
      </c>
      <c r="AB97" s="97">
        <f ca="1">TblMili[[#This Row],[Draftees]]</f>
        <v>626</v>
      </c>
      <c r="AC97" s="97">
        <f ca="1">TblProd[[#This Row],[Platinum]]</f>
        <v>519609</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44874.916666666439</v>
      </c>
      <c r="AB98" s="97">
        <f ca="1">TblMili[[#This Row],[Draftees]]</f>
        <v>626</v>
      </c>
      <c r="AC98" s="97">
        <f ca="1">TblProd[[#This Row],[Platinum]]</f>
        <v>525095</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44874.958333333103</v>
      </c>
      <c r="AB99" s="97">
        <f ca="1">TblMili[[#This Row],[Draftees]]</f>
        <v>626</v>
      </c>
      <c r="AC99" s="97">
        <f ca="1">TblProd[[#This Row],[Platinum]]</f>
        <v>530581</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44874.999999999767</v>
      </c>
      <c r="AB100" s="97">
        <f ca="1">TblMili[[#This Row],[Draftees]]</f>
        <v>626</v>
      </c>
      <c r="AC100" s="97">
        <f ca="1">TblProd[[#This Row],[Platinum]]</f>
        <v>536067</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44875.041666666431</v>
      </c>
      <c r="AB101" s="97">
        <f ca="1">TblMili[[#This Row],[Draftees]]</f>
        <v>626</v>
      </c>
      <c r="AC101" s="97">
        <f ca="1">TblProd[[#This Row],[Platinum]]</f>
        <v>541553</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44875.083333333096</v>
      </c>
      <c r="AB102" s="97">
        <f ca="1">TblMili[[#This Row],[Draftees]]</f>
        <v>626</v>
      </c>
      <c r="AC102" s="97">
        <f ca="1">TblProd[[#This Row],[Platinum]]</f>
        <v>547039</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44875.12499999976</v>
      </c>
      <c r="AB103" s="97">
        <f ca="1">TblMili[[#This Row],[Draftees]]</f>
        <v>626</v>
      </c>
      <c r="AC103" s="97">
        <f ca="1">TblProd[[#This Row],[Platinum]]</f>
        <v>552525</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44875.166666666424</v>
      </c>
      <c r="AB104" s="97">
        <f ca="1">TblMili[[#This Row],[Draftees]]</f>
        <v>626</v>
      </c>
      <c r="AC104" s="97">
        <f ca="1">TblProd[[#This Row],[Platinum]]</f>
        <v>558011</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44875.208333333088</v>
      </c>
      <c r="AB105" s="97">
        <f ca="1">TblMili[[#This Row],[Draftees]]</f>
        <v>626</v>
      </c>
      <c r="AC105" s="97">
        <f ca="1">TblProd[[#This Row],[Platinum]]</f>
        <v>563497</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44875.249999999753</v>
      </c>
      <c r="AB106" s="97">
        <f ca="1">TblMili[[#This Row],[Draftees]]</f>
        <v>626</v>
      </c>
      <c r="AC106" s="97">
        <f ca="1">TblProd[[#This Row],[Platinum]]</f>
        <v>568983</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44875.291666666417</v>
      </c>
      <c r="AB107" s="97">
        <f ca="1">TblMili[[#This Row],[Draftees]]</f>
        <v>626</v>
      </c>
      <c r="AC107" s="97">
        <f ca="1">TblProd[[#This Row],[Platinum]]</f>
        <v>574469</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44875.333333333081</v>
      </c>
      <c r="AB108" s="97">
        <f ca="1">TblMili[[#This Row],[Draftees]]</f>
        <v>626</v>
      </c>
      <c r="AC108" s="97">
        <f ca="1">TblProd[[#This Row],[Platinum]]</f>
        <v>579955</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44875.374999999745</v>
      </c>
      <c r="AB109" s="97">
        <f ca="1">TblMili[[#This Row],[Draftees]]</f>
        <v>626</v>
      </c>
      <c r="AC109" s="97">
        <f ca="1">TblProd[[#This Row],[Platinum]]</f>
        <v>585441</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44875.41666666641</v>
      </c>
      <c r="AB110" s="97">
        <f ca="1">TblMili[[#This Row],[Draftees]]</f>
        <v>626</v>
      </c>
      <c r="AC110" s="97">
        <f ca="1">TblProd[[#This Row],[Platinum]]</f>
        <v>590927</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44875.458333333074</v>
      </c>
      <c r="AB111" s="97">
        <f ca="1">TblMili[[#This Row],[Draftees]]</f>
        <v>626</v>
      </c>
      <c r="AC111" s="97">
        <f ca="1">TblProd[[#This Row],[Platinum]]</f>
        <v>596413</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44875.499999999738</v>
      </c>
      <c r="AB112" s="97">
        <f ca="1">TblMili[[#This Row],[Draftees]]</f>
        <v>626</v>
      </c>
      <c r="AC112" s="97">
        <f ca="1">TblProd[[#This Row],[Platinum]]</f>
        <v>601899</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44875.541666666402</v>
      </c>
      <c r="AB113" s="97">
        <f ca="1">TblMili[[#This Row],[Draftees]]</f>
        <v>626</v>
      </c>
      <c r="AC113" s="97">
        <f ca="1">TblProd[[#This Row],[Platinum]]</f>
        <v>607385</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44875.583333333067</v>
      </c>
      <c r="AB114" s="97">
        <f ca="1">TblMili[[#This Row],[Draftees]]</f>
        <v>626</v>
      </c>
      <c r="AC114" s="97">
        <f ca="1">TblProd[[#This Row],[Platinum]]</f>
        <v>612871</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44875.624999999731</v>
      </c>
      <c r="AB115" s="97">
        <f ca="1">TblMili[[#This Row],[Draftees]]</f>
        <v>626</v>
      </c>
      <c r="AC115" s="97">
        <f ca="1">TblProd[[#This Row],[Platinum]]</f>
        <v>618357</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44875.666666666395</v>
      </c>
      <c r="AB116" s="97">
        <f ca="1">TblMili[[#This Row],[Draftees]]</f>
        <v>626</v>
      </c>
      <c r="AC116" s="97">
        <f ca="1">TblProd[[#This Row],[Platinum]]</f>
        <v>623843</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44875.708333333059</v>
      </c>
      <c r="AB117" s="97">
        <f ca="1">TblMili[[#This Row],[Draftees]]</f>
        <v>626</v>
      </c>
      <c r="AC117" s="97">
        <f ca="1">TblProd[[#This Row],[Platinum]]</f>
        <v>629329</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44875.749999999724</v>
      </c>
      <c r="AB118" s="97">
        <f ca="1">TblMili[[#This Row],[Draftees]]</f>
        <v>626</v>
      </c>
      <c r="AC118" s="97">
        <f ca="1">TblProd[[#This Row],[Platinum]]</f>
        <v>634815</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44875.791666666388</v>
      </c>
      <c r="AB119" s="97">
        <f ca="1">TblMili[[#This Row],[Draftees]]</f>
        <v>626</v>
      </c>
      <c r="AC119" s="97">
        <f ca="1">TblProd[[#This Row],[Platinum]]</f>
        <v>640301</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44875.833333333052</v>
      </c>
      <c r="AB120" s="97">
        <f ca="1">TblMili[[#This Row],[Draftees]]</f>
        <v>626</v>
      </c>
      <c r="AC120" s="97">
        <f ca="1">TblProd[[#This Row],[Platinum]]</f>
        <v>645787</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44875.874999999716</v>
      </c>
      <c r="AB121" s="97">
        <f ca="1">TblMili[[#This Row],[Draftees]]</f>
        <v>626</v>
      </c>
      <c r="AC121" s="97">
        <f ca="1">TblProd[[#This Row],[Platinum]]</f>
        <v>651273</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44875.91666666638</v>
      </c>
      <c r="AB122" s="97">
        <f ca="1">TblMili[[#This Row],[Draftees]]</f>
        <v>626</v>
      </c>
      <c r="AC122" s="97">
        <f ca="1">TblProd[[#This Row],[Platinum]]</f>
        <v>656759</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44875.958333333045</v>
      </c>
      <c r="AB123" s="97">
        <f ca="1">TblMili[[#This Row],[Draftees]]</f>
        <v>626</v>
      </c>
      <c r="AC123" s="97">
        <f ca="1">TblProd[[#This Row],[Platinum]]</f>
        <v>662245</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305</v>
      </c>
      <c r="M124" s="240" t="s">
        <v>308</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44875.999999999709</v>
      </c>
      <c r="AB124" s="97">
        <f ca="1">TblMili[[#This Row],[Draftees]]</f>
        <v>626</v>
      </c>
      <c r="AC124" s="97">
        <f ca="1">TblProd[[#This Row],[Platinum]]</f>
        <v>667731</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44876.041666666373</v>
      </c>
      <c r="AB125" s="97">
        <f ca="1">TblMili[[#This Row],[Draftees]]</f>
        <v>626</v>
      </c>
      <c r="AC125" s="97">
        <f ca="1">TblProd[[#This Row],[Platinum]]</f>
        <v>673217</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44876.083333333037</v>
      </c>
      <c r="AB126" s="97">
        <f ca="1">TblMili[[#This Row],[Draftees]]</f>
        <v>626</v>
      </c>
      <c r="AC126" s="97">
        <f ca="1">TblProd[[#This Row],[Platinum]]</f>
        <v>678703</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44876.124999999702</v>
      </c>
      <c r="AB127" s="97">
        <f ca="1">TblMili[[#This Row],[Draftees]]</f>
        <v>626</v>
      </c>
      <c r="AC127" s="97">
        <f ca="1">TblProd[[#This Row],[Platinum]]</f>
        <v>684189</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44876.166666666366</v>
      </c>
      <c r="AB128" s="97">
        <f ca="1">TblMili[[#This Row],[Draftees]]</f>
        <v>626</v>
      </c>
      <c r="AC128" s="97">
        <f ca="1">TblProd[[#This Row],[Platinum]]</f>
        <v>689675</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44876.20833333303</v>
      </c>
      <c r="AB129" s="97">
        <f ca="1">TblMili[[#This Row],[Draftees]]</f>
        <v>626</v>
      </c>
      <c r="AC129" s="97">
        <f ca="1">TblProd[[#This Row],[Platinum]]</f>
        <v>695161</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44876.249999999694</v>
      </c>
      <c r="AB130" s="97">
        <f ca="1">TblMili[[#This Row],[Draftees]]</f>
        <v>626</v>
      </c>
      <c r="AC130" s="97">
        <f ca="1">TblProd[[#This Row],[Platinum]]</f>
        <v>700647</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44876.291666666359</v>
      </c>
      <c r="AB131" s="97">
        <f ca="1">TblMili[[#This Row],[Draftees]]</f>
        <v>626</v>
      </c>
      <c r="AC131" s="97">
        <f ca="1">TblProd[[#This Row],[Platinum]]</f>
        <v>706133</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44876.333333333023</v>
      </c>
      <c r="AB132" s="97">
        <f ca="1">TblMili[[#This Row],[Draftees]]</f>
        <v>626</v>
      </c>
      <c r="AC132" s="97">
        <f ca="1">TblProd[[#This Row],[Platinum]]</f>
        <v>711619</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44876.374999999687</v>
      </c>
      <c r="AB133" s="97">
        <f ca="1">TblMili[[#This Row],[Draftees]]</f>
        <v>626</v>
      </c>
      <c r="AC133" s="97">
        <f ca="1">TblProd[[#This Row],[Platinum]]</f>
        <v>717105</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44876.416666666351</v>
      </c>
      <c r="AB134" s="97">
        <f ca="1">TblMili[[#This Row],[Draftees]]</f>
        <v>626</v>
      </c>
      <c r="AC134" s="97">
        <f ca="1">TblProd[[#This Row],[Platinum]]</f>
        <v>722591</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44876.458333333016</v>
      </c>
      <c r="AB135" s="97">
        <f ca="1">TblMili[[#This Row],[Draftees]]</f>
        <v>626</v>
      </c>
      <c r="AC135" s="97">
        <f ca="1">TblProd[[#This Row],[Platinum]]</f>
        <v>728077</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44876.49999999968</v>
      </c>
      <c r="AB136" s="97">
        <f ca="1">TblMili[[#This Row],[Draftees]]</f>
        <v>626</v>
      </c>
      <c r="AC136" s="97">
        <f ca="1">TblProd[[#This Row],[Platinum]]</f>
        <v>733563</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5" t="s">
        <v>321</v>
      </c>
      <c r="C1269" s="495"/>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309</v>
      </c>
      <c r="M1" s="5"/>
      <c r="N1" s="5"/>
      <c r="O1" s="5"/>
      <c r="P1" s="5"/>
      <c r="Q1" s="5"/>
      <c r="R1" s="5"/>
      <c r="S1" s="5"/>
      <c r="T1" s="5"/>
      <c r="U1" s="5"/>
      <c r="V1" s="5" t="s">
        <v>198</v>
      </c>
      <c r="W1" s="5"/>
      <c r="X1" s="5" t="s">
        <v>33</v>
      </c>
      <c r="Y1" s="5"/>
      <c r="Z1" s="5"/>
      <c r="AA1" s="5" t="s">
        <v>197</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182</v>
      </c>
      <c r="E3" s="138" t="s">
        <v>59</v>
      </c>
      <c r="F3" s="138" t="s">
        <v>60</v>
      </c>
      <c r="G3" s="138" t="s">
        <v>61</v>
      </c>
      <c r="H3" s="138" t="s">
        <v>62</v>
      </c>
      <c r="I3" s="138" t="s">
        <v>791</v>
      </c>
      <c r="J3" s="138" t="s">
        <v>0</v>
      </c>
      <c r="K3" s="138" t="s">
        <v>316</v>
      </c>
      <c r="L3" s="138" t="s">
        <v>1048</v>
      </c>
      <c r="M3" s="138" t="s">
        <v>1049</v>
      </c>
      <c r="N3" s="138" t="s">
        <v>1050</v>
      </c>
      <c r="O3" s="138" t="s">
        <v>1051</v>
      </c>
      <c r="P3" s="138" t="s">
        <v>1052</v>
      </c>
      <c r="Q3" s="138" t="s">
        <v>1053</v>
      </c>
      <c r="R3" s="138" t="s">
        <v>1054</v>
      </c>
      <c r="S3" s="138" t="s">
        <v>307</v>
      </c>
      <c r="T3" s="138" t="s">
        <v>199</v>
      </c>
      <c r="U3" s="138" t="s">
        <v>792</v>
      </c>
      <c r="V3" s="138" t="s">
        <v>2</v>
      </c>
      <c r="W3" s="138" t="s">
        <v>793</v>
      </c>
      <c r="X3" s="138" t="s">
        <v>57</v>
      </c>
      <c r="Y3" s="138" t="s">
        <v>920</v>
      </c>
      <c r="Z3" s="138" t="s">
        <v>808</v>
      </c>
      <c r="AA3" s="138" t="s">
        <v>265</v>
      </c>
      <c r="AB3" s="138" t="s">
        <v>809</v>
      </c>
      <c r="AC3" s="138" t="s">
        <v>195</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44871</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44871.041666666664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44871.083333333328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44871.124999999993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44871.166666666657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44871.208333333321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44871.249999999985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44871.29166666665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44871.333333333314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44871.374999999978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44871.416666666642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44871.458333333307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44871.499999999971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44871.541666666635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44871.583333333299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44871.624999999964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44871.666666666628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44871.708333333292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44871.749999999956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44871.791666666621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44871.833333333285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44871.874999999949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44871.916666666613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44871.958333333278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44871.999999999942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44872.041666666606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44872.08333333327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44872.124999999935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44872.166666666599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44872.208333333263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44872.249999999927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44872.291666666591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44872.333333333256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44872.37499999992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44872.416666666584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44872.458333333248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44872.499999999913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44872.541666666577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44872.583333333241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44872.624999999905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44872.66666666657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44872.708333333234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44872.749999999898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44872.791666666562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44872.833333333227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44872.874999999891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44872.916666666555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44872.958333333219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44872.999999999884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44873.041666666548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44873.083333333212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44873.124999999876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44873.166666666541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44873.208333333205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44873.249999999869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44873.291666666533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44873.333333333198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353183</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44873.374999999862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352891</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44873.416666666526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352439</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44873.45833333319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351827</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44873.499999999854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357313</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44873.541666666519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362799</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44873.583333333183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368285</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44873.624999999847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373771</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44873.666666666511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379257</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44873.708333333176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384743</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44873.74999999984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390229</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44873.791666666504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395715</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44873.833333333168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401201</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44873.874999999833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406687</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44873.916666666497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412173</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44873.958333333161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417659</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44873.999999999825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404403</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44874.04166666649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409889</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44874.083333333154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415375</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44874.124999999818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420861</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44874.166666666482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426347</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44874.208333333147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431833</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44874.249999999811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437319</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44874.291666666475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442805</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44874.333333333139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448291</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44874.374999999804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453777</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44874.416666666468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459263</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44874.458333333132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464749</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44874.499999999796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470235</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44874.541666666461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475721</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44874.583333333125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481207</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44874.624999999789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486693</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44874.666666666453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492179</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44874.708333333117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497665</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44874.749999999782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503151</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44874.791666666446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508637</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44874.83333333311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514123</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44874.874999999774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519609</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44874.916666666439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525095</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44874.958333333103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530581</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44874.999999999767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536067</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44875.041666666431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541553</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44875.083333333096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547039</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44875.12499999976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552525</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44875.166666666424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558011</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44875.208333333088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563497</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44875.249999999753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568983</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44875.291666666417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574469</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44875.333333333081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579955</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44875.374999999745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585441</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44875.41666666641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590927</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44875.458333333074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596413</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44875.499999999738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601899</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44875.541666666402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607385</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44875.583333333067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612871</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44875.624999999731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618357</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44875.666666666395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623843</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44875.708333333059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629329</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44875.749999999724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634815</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44875.791666666388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640301</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44875.833333333052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645787</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44875.874999999716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651273</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44875.91666666638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656759</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44875.958333333045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662245</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44875.999999999709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667731</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44876.041666666373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673217</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44876.083333333037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678703</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44876.124999999702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684189</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44876.166666666366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689675</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44876.20833333303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695161</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44876.249999999694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700647</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44876.291666666359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706133</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44876.333333333023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711619</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44876.374999999687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717105</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44876.416666666351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722591</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44876.458333333016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728077</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44876.49999999968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733563</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5" t="s">
        <v>321</v>
      </c>
      <c r="B1269" s="495"/>
      <c r="I1269" s="253" t="s">
        <v>311</v>
      </c>
      <c r="L1269" s="254"/>
      <c r="M1269" s="254">
        <v>-10</v>
      </c>
      <c r="N1269" s="254">
        <v>10</v>
      </c>
      <c r="O1269" s="254"/>
      <c r="P1269" s="254"/>
      <c r="Q1269" s="254"/>
      <c r="R1269" s="254"/>
    </row>
    <row r="1270" spans="1:18" x14ac:dyDescent="0.2">
      <c r="A1270" s="28">
        <f>Overview!E17</f>
        <v>0</v>
      </c>
      <c r="B1270" s="28"/>
      <c r="L1270" s="500" t="s">
        <v>310</v>
      </c>
      <c r="M1270" s="448"/>
      <c r="N1270" s="448"/>
      <c r="O1270" s="448"/>
      <c r="P1270" s="448"/>
      <c r="Q1270" s="448"/>
      <c r="R1270" s="448"/>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J1" zoomScale="85" zoomScaleNormal="85" workbookViewId="0">
      <pane ySplit="3" topLeftCell="A4" activePane="bottomLeft" state="frozenSplit"/>
      <selection activeCell="A3" sqref="A3"/>
      <selection pane="bottomLeft" activeCell="Y4" sqref="Y4"/>
    </sheetView>
  </sheetViews>
  <sheetFormatPr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107" width="12.85546875" style="45" customWidth="1"/>
    <col min="108" max="108" width="3" style="45" customWidth="1"/>
    <col min="109" max="110" width="12.85546875" style="45" customWidth="1"/>
    <col min="111" max="16384" width="9.140625" style="45"/>
  </cols>
  <sheetData>
    <row r="1" spans="1:110" x14ac:dyDescent="0.2">
      <c r="A1" s="5"/>
      <c r="B1" s="5"/>
      <c r="C1" s="5"/>
      <c r="D1" s="5"/>
      <c r="E1" s="5"/>
      <c r="F1" s="5"/>
      <c r="G1" s="5"/>
      <c r="H1" s="5"/>
      <c r="I1" s="5"/>
      <c r="J1" s="5"/>
      <c r="K1" s="5"/>
      <c r="L1" s="5"/>
      <c r="M1" s="5"/>
      <c r="N1" s="5"/>
      <c r="O1" s="5"/>
      <c r="P1" s="496" t="s">
        <v>31</v>
      </c>
      <c r="Q1" s="496"/>
      <c r="R1" s="496"/>
      <c r="S1" s="501" t="s">
        <v>481</v>
      </c>
      <c r="T1" s="496"/>
      <c r="U1" s="176"/>
      <c r="V1" s="496" t="s">
        <v>482</v>
      </c>
      <c r="W1" s="496"/>
      <c r="X1" s="5"/>
      <c r="Y1" s="496" t="s">
        <v>24</v>
      </c>
      <c r="Z1" s="496"/>
      <c r="AA1" s="496"/>
      <c r="AB1" s="28"/>
      <c r="AC1" s="5"/>
      <c r="AD1" s="5"/>
      <c r="AE1" s="5"/>
      <c r="AF1" s="5"/>
      <c r="AG1" s="5" t="s">
        <v>186</v>
      </c>
      <c r="AH1" s="5"/>
      <c r="AI1" s="5"/>
      <c r="AJ1" s="5"/>
      <c r="AK1" s="5"/>
      <c r="AL1" s="5"/>
      <c r="AM1" s="5"/>
      <c r="AN1" s="5"/>
      <c r="AO1" s="5"/>
      <c r="AP1" s="5" t="s">
        <v>77</v>
      </c>
      <c r="AQ1" s="5"/>
      <c r="AR1" s="5" t="s">
        <v>33</v>
      </c>
      <c r="AS1" s="5"/>
      <c r="AT1" s="5"/>
      <c r="AU1" s="5"/>
      <c r="AV1" s="5"/>
      <c r="AW1" s="5" t="s">
        <v>191</v>
      </c>
      <c r="AX1" s="5"/>
      <c r="AY1" s="5"/>
      <c r="AZ1" s="5"/>
      <c r="BA1" s="5"/>
      <c r="BB1" s="5"/>
      <c r="BC1" s="5"/>
      <c r="BD1" s="5"/>
      <c r="BE1" s="5"/>
      <c r="BF1" s="5"/>
      <c r="BG1" s="5"/>
      <c r="BH1" s="5"/>
      <c r="BI1" s="496" t="s">
        <v>497</v>
      </c>
      <c r="BJ1" s="496"/>
      <c r="BK1" s="496"/>
      <c r="BL1" s="496"/>
      <c r="BM1" s="496"/>
      <c r="BN1" s="496"/>
      <c r="BO1" s="496"/>
      <c r="BP1" s="496"/>
      <c r="BQ1" s="497"/>
      <c r="BR1" s="497"/>
      <c r="BS1" s="497"/>
      <c r="BT1" s="497"/>
      <c r="BU1" s="5"/>
      <c r="BV1" s="498" t="s">
        <v>303</v>
      </c>
      <c r="BW1" s="448"/>
      <c r="BX1" s="448"/>
      <c r="BY1" s="28"/>
      <c r="BZ1" s="28"/>
      <c r="CA1" s="5"/>
      <c r="CB1" s="5"/>
      <c r="CC1" s="28"/>
      <c r="CD1" s="28"/>
      <c r="CE1" s="28"/>
      <c r="CF1" s="28"/>
      <c r="CG1" s="28"/>
      <c r="CH1" s="28"/>
      <c r="CI1" s="28"/>
      <c r="CJ1" s="28"/>
      <c r="CK1" s="5"/>
      <c r="CL1" s="5"/>
      <c r="CM1" s="5"/>
      <c r="CN1" s="496" t="s">
        <v>317</v>
      </c>
      <c r="CO1" s="496"/>
      <c r="CP1" s="496"/>
      <c r="CQ1" s="497"/>
      <c r="CR1" s="497"/>
      <c r="CS1" s="497"/>
      <c r="CT1" s="497"/>
      <c r="CU1" s="497"/>
      <c r="CV1" s="497"/>
      <c r="CW1" s="57"/>
      <c r="CX1" s="57"/>
      <c r="CY1" s="57"/>
      <c r="CZ1" s="57"/>
      <c r="DA1" s="57"/>
      <c r="DB1" s="57"/>
      <c r="DC1" s="5"/>
      <c r="DD1" s="5"/>
      <c r="DE1" s="5" t="s">
        <v>259</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1117</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1117</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1117</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193</v>
      </c>
      <c r="D3" s="138" t="s">
        <v>791</v>
      </c>
      <c r="E3" s="138" t="s">
        <v>787</v>
      </c>
      <c r="F3" s="138" t="s">
        <v>788</v>
      </c>
      <c r="G3" s="138" t="s">
        <v>789</v>
      </c>
      <c r="H3" s="138" t="s">
        <v>790</v>
      </c>
      <c r="I3" s="138" t="s">
        <v>25</v>
      </c>
      <c r="J3" s="138" t="s">
        <v>1117</v>
      </c>
      <c r="K3" s="138" t="s">
        <v>26</v>
      </c>
      <c r="L3" s="138" t="s">
        <v>27</v>
      </c>
      <c r="M3" s="138" t="s">
        <v>792</v>
      </c>
      <c r="N3" s="138" t="s">
        <v>236</v>
      </c>
      <c r="O3" s="138" t="s">
        <v>793</v>
      </c>
      <c r="P3" s="138" t="s">
        <v>194</v>
      </c>
      <c r="Q3" s="138" t="s">
        <v>818</v>
      </c>
      <c r="R3" s="138" t="s">
        <v>233</v>
      </c>
      <c r="S3" s="258" t="s">
        <v>483</v>
      </c>
      <c r="T3" s="138" t="s">
        <v>480</v>
      </c>
      <c r="U3" s="138" t="s">
        <v>819</v>
      </c>
      <c r="V3" s="259" t="s">
        <v>887</v>
      </c>
      <c r="W3" s="138" t="s">
        <v>888</v>
      </c>
      <c r="X3" s="138" t="s">
        <v>1</v>
      </c>
      <c r="Y3" s="138" t="s">
        <v>185</v>
      </c>
      <c r="Z3" s="138" t="s">
        <v>184</v>
      </c>
      <c r="AA3" s="138" t="s">
        <v>24</v>
      </c>
      <c r="AB3" s="138" t="s">
        <v>808</v>
      </c>
      <c r="AC3" s="138" t="s">
        <v>189</v>
      </c>
      <c r="AD3" s="138" t="s">
        <v>809</v>
      </c>
      <c r="AE3" s="138" t="s">
        <v>873</v>
      </c>
      <c r="AF3" s="138" t="s">
        <v>316</v>
      </c>
      <c r="AG3" s="138" t="s">
        <v>802</v>
      </c>
      <c r="AH3" s="138" t="s">
        <v>803</v>
      </c>
      <c r="AI3" s="138" t="s">
        <v>804</v>
      </c>
      <c r="AJ3" s="138" t="s">
        <v>805</v>
      </c>
      <c r="AK3" s="138" t="s">
        <v>806</v>
      </c>
      <c r="AL3" s="138" t="s">
        <v>1116</v>
      </c>
      <c r="AM3" s="138" t="s">
        <v>807</v>
      </c>
      <c r="AN3" s="138" t="s">
        <v>1115</v>
      </c>
      <c r="AO3" s="138" t="s">
        <v>810</v>
      </c>
      <c r="AP3" s="138" t="s">
        <v>2</v>
      </c>
      <c r="AQ3" s="258" t="s">
        <v>1029</v>
      </c>
      <c r="AR3" s="138" t="s">
        <v>820</v>
      </c>
      <c r="AS3" s="258" t="s">
        <v>1030</v>
      </c>
      <c r="AT3" s="138" t="s">
        <v>1067</v>
      </c>
      <c r="AU3" s="138" t="s">
        <v>1069</v>
      </c>
      <c r="AV3" s="138" t="s">
        <v>795</v>
      </c>
      <c r="AW3" s="138" t="s">
        <v>811</v>
      </c>
      <c r="AX3" s="138" t="s">
        <v>812</v>
      </c>
      <c r="AY3" s="138" t="s">
        <v>813</v>
      </c>
      <c r="AZ3" s="138" t="s">
        <v>814</v>
      </c>
      <c r="BA3" s="138" t="s">
        <v>815</v>
      </c>
      <c r="BB3" s="138" t="s">
        <v>816</v>
      </c>
      <c r="BC3" s="138" t="s">
        <v>1118</v>
      </c>
      <c r="BD3" s="138" t="s">
        <v>817</v>
      </c>
      <c r="BE3" s="138" t="s">
        <v>1119</v>
      </c>
      <c r="BF3" s="138" t="s">
        <v>796</v>
      </c>
      <c r="BG3" s="138" t="s">
        <v>237</v>
      </c>
      <c r="BH3" s="138" t="s">
        <v>359</v>
      </c>
      <c r="BI3" s="138" t="s">
        <v>498</v>
      </c>
      <c r="BJ3" s="138" t="s">
        <v>499</v>
      </c>
      <c r="BK3" s="138" t="s">
        <v>500</v>
      </c>
      <c r="BL3" s="138" t="s">
        <v>501</v>
      </c>
      <c r="BM3" s="138" t="s">
        <v>502</v>
      </c>
      <c r="BN3" s="138" t="s">
        <v>503</v>
      </c>
      <c r="BO3" s="138" t="s">
        <v>504</v>
      </c>
      <c r="BP3" s="138" t="s">
        <v>505</v>
      </c>
      <c r="BQ3" s="138" t="s">
        <v>916</v>
      </c>
      <c r="BR3" s="138" t="s">
        <v>1120</v>
      </c>
      <c r="BS3" s="138" t="s">
        <v>917</v>
      </c>
      <c r="BT3" s="138" t="s">
        <v>918</v>
      </c>
      <c r="BU3" s="138" t="s">
        <v>919</v>
      </c>
      <c r="BV3" s="138" t="s">
        <v>250</v>
      </c>
      <c r="BW3" s="138" t="s">
        <v>302</v>
      </c>
      <c r="BX3" s="138" t="s">
        <v>125</v>
      </c>
      <c r="BY3" s="138" t="s">
        <v>1032</v>
      </c>
      <c r="BZ3" s="138" t="s">
        <v>1031</v>
      </c>
      <c r="CA3" s="138" t="s">
        <v>141</v>
      </c>
      <c r="CB3" s="138" t="s">
        <v>133</v>
      </c>
      <c r="CC3" s="138" t="s">
        <v>1096</v>
      </c>
      <c r="CD3" s="138" t="s">
        <v>1100</v>
      </c>
      <c r="CE3" s="138" t="s">
        <v>333</v>
      </c>
      <c r="CF3" s="138" t="s">
        <v>334</v>
      </c>
      <c r="CG3" s="138" t="s">
        <v>338</v>
      </c>
      <c r="CH3" s="138" t="s">
        <v>339</v>
      </c>
      <c r="CI3" s="138" t="s">
        <v>145</v>
      </c>
      <c r="CJ3" s="138" t="s">
        <v>507</v>
      </c>
      <c r="CK3" s="260" t="s">
        <v>797</v>
      </c>
      <c r="CL3" s="260" t="s">
        <v>798</v>
      </c>
      <c r="CM3" s="260" t="s">
        <v>799</v>
      </c>
      <c r="CN3" s="138" t="s">
        <v>1033</v>
      </c>
      <c r="CO3" s="138" t="s">
        <v>902</v>
      </c>
      <c r="CP3" s="138" t="s">
        <v>903</v>
      </c>
      <c r="CQ3" s="138" t="s">
        <v>904</v>
      </c>
      <c r="CR3" s="138" t="s">
        <v>905</v>
      </c>
      <c r="CS3" s="138" t="s">
        <v>906</v>
      </c>
      <c r="CT3" s="138" t="s">
        <v>907</v>
      </c>
      <c r="CU3" s="138" t="s">
        <v>908</v>
      </c>
      <c r="CV3" s="138" t="s">
        <v>909</v>
      </c>
      <c r="CW3" s="138" t="s">
        <v>910</v>
      </c>
      <c r="CX3" s="138" t="s">
        <v>911</v>
      </c>
      <c r="CY3" s="138" t="s">
        <v>912</v>
      </c>
      <c r="CZ3" s="260" t="s">
        <v>800</v>
      </c>
      <c r="DA3" s="138" t="s">
        <v>1107</v>
      </c>
      <c r="DB3" s="260" t="s">
        <v>801</v>
      </c>
      <c r="DC3" s="138" t="s">
        <v>913</v>
      </c>
      <c r="DD3" s="138" t="s">
        <v>1070</v>
      </c>
      <c r="DE3" s="138" t="s">
        <v>914</v>
      </c>
      <c r="DF3" s="138" t="s">
        <v>915</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44871</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44871</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1200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4]])*2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3</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44871.041666666664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44871.041666666664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1200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4]])*2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3</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44871.083333333328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44871.083333333328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1200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4]])*2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3</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44871.124999999993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44871.124999999993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1200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4]])*2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3</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44871.166666666657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44871.166666666657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1200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4]])*2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3</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44871.208333333321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44871.208333333321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1200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4]])*2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3</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44871.249999999985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44871.249999999985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1200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4]])*2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3</v>
      </c>
      <c r="CK10" s="267" t="s">
        <v>335</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44871.29166666665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44871.29166666665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1200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4]])*2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3</v>
      </c>
      <c r="CK11" s="267" t="s">
        <v>145</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44871.333333333314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44871.333333333314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1200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4]])*2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3</v>
      </c>
      <c r="CK12" s="267" t="s">
        <v>507</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44871.374999999978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44871.374999999978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1200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4]])*2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3</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44871.416666666642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44871.416666666642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1200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4]])*2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3</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44871.458333333307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44871.458333333307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1200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4]])*2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3</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44871.499999999971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44871.499999999971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1200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4]])*2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3</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44871.541666666635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44871.541666666635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1200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4]])*2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3</v>
      </c>
      <c r="CK17" s="267" t="s">
        <v>528</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44871.583333333299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44871.583333333299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1200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4]])*2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3</v>
      </c>
      <c r="CK18" s="267" t="s">
        <v>529</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44871.624999999964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44871.624999999964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1200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4]])*2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3</v>
      </c>
      <c r="CK19" s="267" t="s">
        <v>530</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44871.666666666628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44871.666666666628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1200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4]])*2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3</v>
      </c>
      <c r="CK20" s="267" t="s">
        <v>532</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44871.708333333292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44871.708333333292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1200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4]])*2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3</v>
      </c>
      <c r="CK21" s="267" t="s">
        <v>531</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44871.749999999956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44871.749999999956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1200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4]])*2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3</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44871.791666666621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44871.791666666621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1200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4]])*2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3</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44871.833333333285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44871.833333333285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1200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4]])*2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3</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44871.874999999949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44871.874999999949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1200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4]])*2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3</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44871.916666666613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44871.916666666613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1200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4]])*2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3</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44871.958333333278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44871.958333333278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1200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4]])*2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3</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44871.999999999942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44871.999999999942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1200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4]])*2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3</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44872.041666666606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44872.041666666606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1200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4]])*2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3</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44872.08333333327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44872.08333333327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1200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4]])*2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3</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44872.124999999935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44872.124999999935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1200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4]])*2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3</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44872.166666666599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44872.166666666599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1200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4]])*2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3</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44872.208333333263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44872.208333333263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1200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4]])*2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3</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44872.249999999927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44872.249999999927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1200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4]])*2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3</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44872.291666666591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44872.291666666591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1200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4]])*2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3</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44872.333333333256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44872.333333333256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1200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4]])*2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3</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44872.37499999992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44872.37499999992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1200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4]])*2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3</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44872.416666666584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44872.416666666584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1200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4]])*2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3</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44872.458333333248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44872.458333333248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1200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4]])*2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3</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44872.499999999913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44872.499999999913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1200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4]])*2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3</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44872.541666666577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44872.541666666577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1200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4]])*2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3</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44872.583333333241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44872.583333333241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1200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4]])*2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3</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44872.624999999905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44872.624999999905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1200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4]])*2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3</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44872.66666666657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44872.66666666657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1200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4]])*2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3</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44872.708333333234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44872.708333333234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1200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4]])*2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3</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44872.749999999898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44872.749999999898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1200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4]])*2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3</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44872.791666666562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44872.791666666562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1200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4]])*2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3</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44872.833333333227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44872.833333333227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1200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4]])*2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3</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44872.874999999891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44872.874999999891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1200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4]])*2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3</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44872.916666666555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44872.916666666555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1200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4]])*2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3</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44872.958333333219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44872.958333333219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1200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4]])*2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3</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44872.999999999884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44872.999999999884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1200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4]])*2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3</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44873.041666666548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44873.041666666548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1200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4]])*2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3</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44873.083333333212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44873.083333333212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1200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4]])*2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3</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44873.124999999876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44873.124999999876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1200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4]])*2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3</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44873.166666666541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44873.166666666541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1200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4]])*2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3</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44873.208333333205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44873.208333333205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1200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4]])*2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3</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44873.249999999869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44873.249999999869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1200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4]])*2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3</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44873.291666666533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44873.291666666533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1200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4]])*2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3</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44873.333333333198</v>
      </c>
      <c r="AG60" s="182"/>
      <c r="AH60" s="182"/>
      <c r="AI60" s="182"/>
      <c r="AJ60" s="182"/>
      <c r="AK60" s="182"/>
      <c r="AL60" s="182"/>
      <c r="AM60" s="182"/>
      <c r="AN60" s="182"/>
      <c r="AO60" s="145"/>
      <c r="AP60" s="97">
        <f ca="1">TblProd[[#This Row],[Platinum]]</f>
        <v>353183</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44873.333333333198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1200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4]])*2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3</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44873.374999999862</v>
      </c>
      <c r="AG61" s="182"/>
      <c r="AH61" s="182"/>
      <c r="AI61" s="182"/>
      <c r="AJ61" s="182"/>
      <c r="AK61" s="182"/>
      <c r="AL61" s="182"/>
      <c r="AM61" s="182"/>
      <c r="AN61" s="182"/>
      <c r="AO61" s="145"/>
      <c r="AP61" s="97">
        <f ca="1">TblProd[[#This Row],[Platinum]]</f>
        <v>352891</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44873.374999999862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1200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4]])*2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3</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44873.416666666526</v>
      </c>
      <c r="AG62" s="182"/>
      <c r="AH62" s="182"/>
      <c r="AI62" s="182"/>
      <c r="AJ62" s="182"/>
      <c r="AK62" s="182"/>
      <c r="AL62" s="182"/>
      <c r="AM62" s="182"/>
      <c r="AN62" s="182"/>
      <c r="AO62" s="145"/>
      <c r="AP62" s="97">
        <f ca="1">TblProd[[#This Row],[Platinum]]</f>
        <v>352439</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44873.416666666526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1200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4]])*2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3</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44873.45833333319</v>
      </c>
      <c r="AG63" s="182"/>
      <c r="AH63" s="182"/>
      <c r="AI63" s="182"/>
      <c r="AJ63" s="182"/>
      <c r="AK63" s="182"/>
      <c r="AL63" s="182"/>
      <c r="AM63" s="182"/>
      <c r="AN63" s="182"/>
      <c r="AO63" s="145"/>
      <c r="AP63" s="97">
        <f ca="1">TblProd[[#This Row],[Platinum]]</f>
        <v>351827</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44873.45833333319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1200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4]])*2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3</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44873.499999999854</v>
      </c>
      <c r="AG64" s="182"/>
      <c r="AH64" s="161"/>
      <c r="AI64" s="182"/>
      <c r="AJ64" s="161"/>
      <c r="AK64" s="161"/>
      <c r="AL64" s="161"/>
      <c r="AM64" s="161"/>
      <c r="AN64" s="182"/>
      <c r="AO64" s="145"/>
      <c r="AP64" s="97">
        <f ca="1">TblProd[[#This Row],[Platinum]]</f>
        <v>357313</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44873.499999999854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1200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4]])*2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3</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44873.541666666519</v>
      </c>
      <c r="AG65" s="161"/>
      <c r="AH65" s="182"/>
      <c r="AI65" s="182"/>
      <c r="AJ65" s="182"/>
      <c r="AK65" s="182"/>
      <c r="AL65" s="182"/>
      <c r="AM65" s="182"/>
      <c r="AN65" s="182"/>
      <c r="AO65" s="145"/>
      <c r="AP65" s="97">
        <f ca="1">TblProd[[#This Row],[Platinum]]</f>
        <v>362799</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44873.541666666519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1200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4]])*2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3</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44873.583333333183</v>
      </c>
      <c r="AG66" s="182"/>
      <c r="AH66" s="182"/>
      <c r="AI66" s="182"/>
      <c r="AJ66" s="182"/>
      <c r="AK66" s="182"/>
      <c r="AL66" s="182"/>
      <c r="AM66" s="182"/>
      <c r="AN66" s="182"/>
      <c r="AO66" s="145"/>
      <c r="AP66" s="97">
        <f ca="1">TblProd[[#This Row],[Platinum]]</f>
        <v>368285</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44873.583333333183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1200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4]])*2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3</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44873.624999999847</v>
      </c>
      <c r="AG67" s="161"/>
      <c r="AH67" s="161"/>
      <c r="AI67" s="182"/>
      <c r="AJ67" s="182"/>
      <c r="AK67" s="182"/>
      <c r="AL67" s="182"/>
      <c r="AM67" s="182"/>
      <c r="AN67" s="182"/>
      <c r="AO67" s="145"/>
      <c r="AP67" s="97">
        <f ca="1">TblProd[[#This Row],[Platinum]]</f>
        <v>373771</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44873.624999999847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1200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4]])*2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3</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44873.666666666511</v>
      </c>
      <c r="AG68" s="161"/>
      <c r="AH68" s="161"/>
      <c r="AI68" s="182"/>
      <c r="AJ68" s="182"/>
      <c r="AK68" s="182"/>
      <c r="AL68" s="182"/>
      <c r="AM68" s="182"/>
      <c r="AN68" s="182"/>
      <c r="AO68" s="145"/>
      <c r="AP68" s="97">
        <f ca="1">TblProd[[#This Row],[Platinum]]</f>
        <v>379257</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44873.666666666511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1200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4]])*2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3</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44873.708333333176</v>
      </c>
      <c r="AG69" s="182"/>
      <c r="AH69" s="161"/>
      <c r="AI69" s="182"/>
      <c r="AJ69" s="182"/>
      <c r="AK69" s="182"/>
      <c r="AL69" s="182"/>
      <c r="AM69" s="182"/>
      <c r="AN69" s="182"/>
      <c r="AO69" s="145"/>
      <c r="AP69" s="97">
        <f ca="1">TblProd[[#This Row],[Platinum]]</f>
        <v>384743</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44873.708333333176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1200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4]])*2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3</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44873.74999999984</v>
      </c>
      <c r="AG70" s="182"/>
      <c r="AH70" s="161"/>
      <c r="AI70" s="182"/>
      <c r="AJ70" s="182"/>
      <c r="AK70" s="182"/>
      <c r="AL70" s="182"/>
      <c r="AM70" s="182"/>
      <c r="AN70" s="182"/>
      <c r="AO70" s="145"/>
      <c r="AP70" s="97">
        <f ca="1">TblProd[[#This Row],[Platinum]]</f>
        <v>390229</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44873.74999999984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1200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4]])*2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3</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44873.791666666504</v>
      </c>
      <c r="AG71" s="182"/>
      <c r="AH71" s="161"/>
      <c r="AI71" s="182"/>
      <c r="AJ71" s="182"/>
      <c r="AK71" s="182"/>
      <c r="AL71" s="182"/>
      <c r="AM71" s="182"/>
      <c r="AN71" s="182"/>
      <c r="AO71" s="145"/>
      <c r="AP71" s="97">
        <f ca="1">TblProd[[#This Row],[Platinum]]</f>
        <v>395715</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44873.791666666504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1200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4]])*2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3</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44873.833333333168</v>
      </c>
      <c r="AG72" s="182"/>
      <c r="AH72" s="161"/>
      <c r="AI72" s="182"/>
      <c r="AJ72" s="182"/>
      <c r="AK72" s="182"/>
      <c r="AL72" s="182"/>
      <c r="AM72" s="182"/>
      <c r="AN72" s="182"/>
      <c r="AO72" s="145"/>
      <c r="AP72" s="97">
        <f ca="1">TblProd[[#This Row],[Platinum]]</f>
        <v>401201</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44873.833333333168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1200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4]])*2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3</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44873.874999999833</v>
      </c>
      <c r="AG73" s="182"/>
      <c r="AH73" s="161"/>
      <c r="AI73" s="182"/>
      <c r="AJ73" s="182"/>
      <c r="AK73" s="182"/>
      <c r="AL73" s="182"/>
      <c r="AM73" s="182"/>
      <c r="AN73" s="182"/>
      <c r="AO73" s="145"/>
      <c r="AP73" s="97">
        <f ca="1">TblProd[[#This Row],[Platinum]]</f>
        <v>406687</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44873.874999999833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1200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4]])*2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3</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44873.916666666497</v>
      </c>
      <c r="AG74" s="182"/>
      <c r="AH74" s="161"/>
      <c r="AI74" s="182"/>
      <c r="AJ74" s="182"/>
      <c r="AK74" s="182"/>
      <c r="AL74" s="182"/>
      <c r="AM74" s="182"/>
      <c r="AN74" s="182"/>
      <c r="AO74" s="145"/>
      <c r="AP74" s="97">
        <f ca="1">TblProd[[#This Row],[Platinum]]</f>
        <v>412173</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44873.916666666497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1200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4]])*2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3</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44873.958333333161</v>
      </c>
      <c r="AG75" s="182"/>
      <c r="AH75" s="161"/>
      <c r="AI75" s="182"/>
      <c r="AJ75" s="182"/>
      <c r="AK75" s="182"/>
      <c r="AL75" s="182"/>
      <c r="AM75" s="182"/>
      <c r="AN75" s="182"/>
      <c r="AO75" s="145"/>
      <c r="AP75" s="97">
        <f ca="1">TblProd[[#This Row],[Platinum]]</f>
        <v>417659</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44873.958333333161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1200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4]])*2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3</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44873.999999999825</v>
      </c>
      <c r="AG76" s="207"/>
      <c r="AH76" s="161"/>
      <c r="AI76" s="182"/>
      <c r="AJ76" s="207"/>
      <c r="AK76" s="207"/>
      <c r="AL76" s="207"/>
      <c r="AM76" s="207"/>
      <c r="AN76" s="207"/>
      <c r="AO76" s="152"/>
      <c r="AP76" s="210">
        <f ca="1">TblProd[[#This Row],[Platinum]]</f>
        <v>404403</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44873.999999999825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1200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4]])*2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3</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44874.04166666649</v>
      </c>
      <c r="AG77" s="182"/>
      <c r="AH77" s="161"/>
      <c r="AI77" s="182"/>
      <c r="AJ77" s="182"/>
      <c r="AK77" s="182"/>
      <c r="AL77" s="182"/>
      <c r="AM77" s="182"/>
      <c r="AN77" s="182"/>
      <c r="AO77" s="145"/>
      <c r="AP77" s="97">
        <f ca="1">TblProd[[#This Row],[Platinum]]</f>
        <v>409889</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44874.04166666649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1200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4]])*2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3</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44874.083333333154</v>
      </c>
      <c r="AG78" s="182"/>
      <c r="AH78" s="161"/>
      <c r="AI78" s="182"/>
      <c r="AJ78" s="182"/>
      <c r="AK78" s="182"/>
      <c r="AL78" s="182"/>
      <c r="AM78" s="182"/>
      <c r="AN78" s="182"/>
      <c r="AO78" s="145"/>
      <c r="AP78" s="97">
        <f ca="1">TblProd[[#This Row],[Platinum]]</f>
        <v>415375</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44874.083333333154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1200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4]])*2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3</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44874.124999999818</v>
      </c>
      <c r="AG79" s="182"/>
      <c r="AH79" s="182"/>
      <c r="AI79" s="182"/>
      <c r="AJ79" s="182"/>
      <c r="AK79" s="182"/>
      <c r="AL79" s="182"/>
      <c r="AM79" s="182"/>
      <c r="AN79" s="182"/>
      <c r="AO79" s="145"/>
      <c r="AP79" s="97">
        <f ca="1">TblProd[[#This Row],[Platinum]]</f>
        <v>420861</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44874.124999999818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1200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4]])*2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3</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44874.166666666482</v>
      </c>
      <c r="AG80" s="182"/>
      <c r="AH80" s="182"/>
      <c r="AI80" s="182"/>
      <c r="AJ80" s="182"/>
      <c r="AK80" s="182"/>
      <c r="AL80" s="182"/>
      <c r="AM80" s="182"/>
      <c r="AN80" s="182"/>
      <c r="AO80" s="145"/>
      <c r="AP80" s="97">
        <f ca="1">TblProd[[#This Row],[Platinum]]</f>
        <v>426347</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44874.166666666482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1200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4]])*2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3</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44874.208333333147</v>
      </c>
      <c r="AG81" s="182"/>
      <c r="AH81" s="182"/>
      <c r="AI81" s="182"/>
      <c r="AJ81" s="182"/>
      <c r="AK81" s="182"/>
      <c r="AL81" s="182"/>
      <c r="AM81" s="182"/>
      <c r="AN81" s="182"/>
      <c r="AO81" s="145"/>
      <c r="AP81" s="97">
        <f ca="1">TblProd[[#This Row],[Platinum]]</f>
        <v>431833</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44874.208333333147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1200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4]])*2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3</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44874.249999999811</v>
      </c>
      <c r="AG82" s="182"/>
      <c r="AH82" s="182"/>
      <c r="AI82" s="182"/>
      <c r="AJ82" s="182"/>
      <c r="AK82" s="182"/>
      <c r="AL82" s="182"/>
      <c r="AM82" s="182"/>
      <c r="AN82" s="182"/>
      <c r="AO82" s="145"/>
      <c r="AP82" s="97">
        <f ca="1">TblProd[[#This Row],[Platinum]]</f>
        <v>437319</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44874.249999999811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1200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4]])*2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3</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44874.291666666475</v>
      </c>
      <c r="AG83" s="182"/>
      <c r="AH83" s="182"/>
      <c r="AI83" s="182"/>
      <c r="AJ83" s="182"/>
      <c r="AK83" s="182"/>
      <c r="AL83" s="182"/>
      <c r="AM83" s="182"/>
      <c r="AN83" s="182"/>
      <c r="AO83" s="145"/>
      <c r="AP83" s="97">
        <f ca="1">TblProd[[#This Row],[Platinum]]</f>
        <v>442805</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44874.291666666475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1200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4]])*2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3</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44874.333333333139</v>
      </c>
      <c r="AG84" s="182"/>
      <c r="AH84" s="182"/>
      <c r="AI84" s="182"/>
      <c r="AJ84" s="182"/>
      <c r="AK84" s="182"/>
      <c r="AL84" s="182"/>
      <c r="AM84" s="182"/>
      <c r="AN84" s="182"/>
      <c r="AO84" s="145"/>
      <c r="AP84" s="97">
        <f ca="1">TblProd[[#This Row],[Platinum]]</f>
        <v>448291</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44874.333333333139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1200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4]])*2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3</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44874.374999999804</v>
      </c>
      <c r="AG85" s="182"/>
      <c r="AH85" s="182"/>
      <c r="AI85" s="182"/>
      <c r="AJ85" s="182"/>
      <c r="AK85" s="182"/>
      <c r="AL85" s="182"/>
      <c r="AM85" s="182"/>
      <c r="AN85" s="182"/>
      <c r="AO85" s="145"/>
      <c r="AP85" s="97">
        <f ca="1">TblProd[[#This Row],[Platinum]]</f>
        <v>453777</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44874.374999999804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1200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4]])*2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3</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44874.416666666468</v>
      </c>
      <c r="AG86" s="182"/>
      <c r="AH86" s="182"/>
      <c r="AI86" s="182"/>
      <c r="AJ86" s="182"/>
      <c r="AK86" s="182"/>
      <c r="AL86" s="182"/>
      <c r="AM86" s="182"/>
      <c r="AN86" s="182"/>
      <c r="AO86" s="145"/>
      <c r="AP86" s="97">
        <f ca="1">TblProd[[#This Row],[Platinum]]</f>
        <v>459263</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44874.416666666468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1200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4]])*2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3</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44874.458333333132</v>
      </c>
      <c r="AG87" s="182"/>
      <c r="AH87" s="182"/>
      <c r="AI87" s="182"/>
      <c r="AJ87" s="182"/>
      <c r="AK87" s="182"/>
      <c r="AL87" s="182"/>
      <c r="AM87" s="182"/>
      <c r="AN87" s="182"/>
      <c r="AO87" s="145"/>
      <c r="AP87" s="97">
        <f ca="1">TblProd[[#This Row],[Platinum]]</f>
        <v>464749</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44874.458333333132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1200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4]])*2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3</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44874.499999999796</v>
      </c>
      <c r="AG88" s="182"/>
      <c r="AH88" s="182"/>
      <c r="AI88" s="182"/>
      <c r="AJ88" s="182"/>
      <c r="AK88" s="182"/>
      <c r="AL88" s="182"/>
      <c r="AM88" s="182"/>
      <c r="AN88" s="182"/>
      <c r="AO88" s="145"/>
      <c r="AP88" s="97">
        <f ca="1">TblProd[[#This Row],[Platinum]]</f>
        <v>470235</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44874.499999999796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1200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4]])*2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3</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44874.541666666461</v>
      </c>
      <c r="AG89" s="182"/>
      <c r="AH89" s="182"/>
      <c r="AI89" s="182"/>
      <c r="AJ89" s="182"/>
      <c r="AK89" s="182"/>
      <c r="AL89" s="182"/>
      <c r="AM89" s="182"/>
      <c r="AN89" s="182"/>
      <c r="AO89" s="145"/>
      <c r="AP89" s="97">
        <f ca="1">TblProd[[#This Row],[Platinum]]</f>
        <v>475721</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44874.541666666461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1200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4]])*2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3</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44874.583333333125</v>
      </c>
      <c r="AG90" s="182"/>
      <c r="AH90" s="182"/>
      <c r="AI90" s="182"/>
      <c r="AJ90" s="182"/>
      <c r="AK90" s="182"/>
      <c r="AL90" s="182"/>
      <c r="AM90" s="182"/>
      <c r="AN90" s="182"/>
      <c r="AO90" s="145"/>
      <c r="AP90" s="97">
        <f ca="1">TblProd[[#This Row],[Platinum]]</f>
        <v>481207</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44874.583333333125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1200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4]])*2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3</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44874.624999999789</v>
      </c>
      <c r="AG91" s="182"/>
      <c r="AH91" s="182"/>
      <c r="AI91" s="182"/>
      <c r="AJ91" s="182"/>
      <c r="AK91" s="182"/>
      <c r="AL91" s="182"/>
      <c r="AM91" s="182"/>
      <c r="AN91" s="182"/>
      <c r="AO91" s="145"/>
      <c r="AP91" s="97">
        <f ca="1">TblProd[[#This Row],[Platinum]]</f>
        <v>486693</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44874.624999999789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1200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4]])*2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3</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44874.666666666453</v>
      </c>
      <c r="AG92" s="182"/>
      <c r="AH92" s="182"/>
      <c r="AI92" s="182"/>
      <c r="AJ92" s="182"/>
      <c r="AK92" s="182"/>
      <c r="AL92" s="182"/>
      <c r="AM92" s="182"/>
      <c r="AN92" s="182"/>
      <c r="AO92" s="145"/>
      <c r="AP92" s="97">
        <f ca="1">TblProd[[#This Row],[Platinum]]</f>
        <v>492179</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44874.666666666453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1200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4]])*2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3</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44874.708333333117</v>
      </c>
      <c r="AG93" s="182"/>
      <c r="AH93" s="182"/>
      <c r="AI93" s="182"/>
      <c r="AJ93" s="182"/>
      <c r="AK93" s="182"/>
      <c r="AL93" s="182"/>
      <c r="AM93" s="182"/>
      <c r="AN93" s="182"/>
      <c r="AO93" s="145"/>
      <c r="AP93" s="97">
        <f ca="1">TblProd[[#This Row],[Platinum]]</f>
        <v>497665</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44874.708333333117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1200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4]])*2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3</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44874.749999999782</v>
      </c>
      <c r="AG94" s="182"/>
      <c r="AH94" s="182"/>
      <c r="AI94" s="182"/>
      <c r="AJ94" s="182"/>
      <c r="AK94" s="182"/>
      <c r="AL94" s="182"/>
      <c r="AM94" s="182"/>
      <c r="AN94" s="182"/>
      <c r="AO94" s="145"/>
      <c r="AP94" s="97">
        <f ca="1">TblProd[[#This Row],[Platinum]]</f>
        <v>503151</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44874.749999999782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1200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4]])*2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3</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44874.791666666446</v>
      </c>
      <c r="AG95" s="182"/>
      <c r="AH95" s="182"/>
      <c r="AI95" s="182"/>
      <c r="AJ95" s="182"/>
      <c r="AK95" s="182"/>
      <c r="AL95" s="182"/>
      <c r="AM95" s="182"/>
      <c r="AN95" s="182"/>
      <c r="AO95" s="145"/>
      <c r="AP95" s="97">
        <f ca="1">TblProd[[#This Row],[Platinum]]</f>
        <v>508637</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44874.791666666446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1200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4]])*2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3</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44874.83333333311</v>
      </c>
      <c r="AG96" s="182"/>
      <c r="AH96" s="182"/>
      <c r="AI96" s="182"/>
      <c r="AJ96" s="182"/>
      <c r="AK96" s="182"/>
      <c r="AL96" s="182"/>
      <c r="AM96" s="182"/>
      <c r="AN96" s="182"/>
      <c r="AO96" s="145"/>
      <c r="AP96" s="97">
        <f ca="1">TblProd[[#This Row],[Platinum]]</f>
        <v>514123</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44874.83333333311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1200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4]])*2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3</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44874.874999999774</v>
      </c>
      <c r="AG97" s="182"/>
      <c r="AH97" s="182"/>
      <c r="AI97" s="182"/>
      <c r="AJ97" s="182"/>
      <c r="AK97" s="182"/>
      <c r="AL97" s="182"/>
      <c r="AM97" s="182"/>
      <c r="AN97" s="182"/>
      <c r="AO97" s="145"/>
      <c r="AP97" s="97">
        <f ca="1">TblProd[[#This Row],[Platinum]]</f>
        <v>519609</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44874.874999999774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1200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4]])*2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3</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44874.916666666439</v>
      </c>
      <c r="AG98" s="182"/>
      <c r="AH98" s="182"/>
      <c r="AI98" s="182"/>
      <c r="AJ98" s="182"/>
      <c r="AK98" s="182"/>
      <c r="AL98" s="182"/>
      <c r="AM98" s="182"/>
      <c r="AN98" s="182"/>
      <c r="AO98" s="145"/>
      <c r="AP98" s="97">
        <f ca="1">TblProd[[#This Row],[Platinum]]</f>
        <v>525095</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44874.916666666439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1200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4]])*2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3</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44874.958333333103</v>
      </c>
      <c r="AG99" s="182"/>
      <c r="AH99" s="182"/>
      <c r="AI99" s="182"/>
      <c r="AJ99" s="182"/>
      <c r="AK99" s="182"/>
      <c r="AL99" s="182"/>
      <c r="AM99" s="182"/>
      <c r="AN99" s="182"/>
      <c r="AO99" s="145"/>
      <c r="AP99" s="97">
        <f ca="1">TblProd[[#This Row],[Platinum]]</f>
        <v>530581</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44874.958333333103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1200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4]])*2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3</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44874.999999999767</v>
      </c>
      <c r="AG100" s="182"/>
      <c r="AH100" s="182"/>
      <c r="AI100" s="182"/>
      <c r="AJ100" s="182"/>
      <c r="AK100" s="182"/>
      <c r="AL100" s="182"/>
      <c r="AM100" s="182"/>
      <c r="AN100" s="182"/>
      <c r="AO100" s="145"/>
      <c r="AP100" s="97">
        <f ca="1">TblProd[[#This Row],[Platinum]]</f>
        <v>536067</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44874.999999999767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1200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4]])*2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3</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44875.041666666431</v>
      </c>
      <c r="AG101" s="182"/>
      <c r="AH101" s="182"/>
      <c r="AI101" s="182"/>
      <c r="AJ101" s="182"/>
      <c r="AK101" s="182"/>
      <c r="AL101" s="182"/>
      <c r="AM101" s="182"/>
      <c r="AN101" s="182"/>
      <c r="AO101" s="145"/>
      <c r="AP101" s="97">
        <f ca="1">TblProd[[#This Row],[Platinum]]</f>
        <v>541553</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44875.041666666431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1200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4]])*2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3</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44875.083333333096</v>
      </c>
      <c r="AG102" s="182"/>
      <c r="AH102" s="182"/>
      <c r="AI102" s="182"/>
      <c r="AJ102" s="182"/>
      <c r="AK102" s="182"/>
      <c r="AL102" s="182"/>
      <c r="AM102" s="182"/>
      <c r="AN102" s="182"/>
      <c r="AO102" s="145"/>
      <c r="AP102" s="97">
        <f ca="1">TblProd[[#This Row],[Platinum]]</f>
        <v>547039</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44875.083333333096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1200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4]])*2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3</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44875.12499999976</v>
      </c>
      <c r="AG103" s="182"/>
      <c r="AH103" s="182"/>
      <c r="AI103" s="182"/>
      <c r="AJ103" s="182"/>
      <c r="AK103" s="182"/>
      <c r="AL103" s="182"/>
      <c r="AM103" s="182"/>
      <c r="AN103" s="182"/>
      <c r="AO103" s="145"/>
      <c r="AP103" s="97">
        <f ca="1">TblProd[[#This Row],[Platinum]]</f>
        <v>552525</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44875.12499999976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1200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4]])*2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3</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44875.166666666424</v>
      </c>
      <c r="AG104" s="182"/>
      <c r="AH104" s="182"/>
      <c r="AI104" s="182"/>
      <c r="AJ104" s="182"/>
      <c r="AK104" s="182"/>
      <c r="AL104" s="182"/>
      <c r="AM104" s="182"/>
      <c r="AN104" s="182"/>
      <c r="AO104" s="145"/>
      <c r="AP104" s="97">
        <f ca="1">TblProd[[#This Row],[Platinum]]</f>
        <v>558011</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44875.166666666424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1200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4]])*2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3</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44875.208333333088</v>
      </c>
      <c r="AG105" s="182"/>
      <c r="AH105" s="182"/>
      <c r="AI105" s="182"/>
      <c r="AJ105" s="182"/>
      <c r="AK105" s="182"/>
      <c r="AL105" s="182"/>
      <c r="AM105" s="182"/>
      <c r="AN105" s="182"/>
      <c r="AO105" s="145"/>
      <c r="AP105" s="97">
        <f ca="1">TblProd[[#This Row],[Platinum]]</f>
        <v>563497</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44875.208333333088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1200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4]])*2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3</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44875.249999999753</v>
      </c>
      <c r="AG106" s="182"/>
      <c r="AH106" s="182"/>
      <c r="AI106" s="182"/>
      <c r="AJ106" s="182"/>
      <c r="AK106" s="182"/>
      <c r="AL106" s="182"/>
      <c r="AM106" s="182"/>
      <c r="AN106" s="182"/>
      <c r="AO106" s="145"/>
      <c r="AP106" s="97">
        <f ca="1">TblProd[[#This Row],[Platinum]]</f>
        <v>568983</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44875.249999999753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1200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4]])*2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3</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44875.291666666417</v>
      </c>
      <c r="AG107" s="182"/>
      <c r="AH107" s="182"/>
      <c r="AI107" s="182"/>
      <c r="AJ107" s="182"/>
      <c r="AK107" s="182"/>
      <c r="AL107" s="182"/>
      <c r="AM107" s="182"/>
      <c r="AN107" s="182"/>
      <c r="AO107" s="145"/>
      <c r="AP107" s="97">
        <f ca="1">TblProd[[#This Row],[Platinum]]</f>
        <v>574469</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44875.291666666417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1200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4]])*2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3</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44875.333333333081</v>
      </c>
      <c r="AG108" s="182"/>
      <c r="AH108" s="182"/>
      <c r="AI108" s="182"/>
      <c r="AJ108" s="182"/>
      <c r="AK108" s="182"/>
      <c r="AL108" s="182"/>
      <c r="AM108" s="182"/>
      <c r="AN108" s="182"/>
      <c r="AO108" s="145"/>
      <c r="AP108" s="97">
        <f ca="1">TblProd[[#This Row],[Platinum]]</f>
        <v>579955</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44875.333333333081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1200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4]])*2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3</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44875.374999999745</v>
      </c>
      <c r="AG109" s="182"/>
      <c r="AH109" s="182"/>
      <c r="AI109" s="182"/>
      <c r="AJ109" s="182"/>
      <c r="AK109" s="182"/>
      <c r="AL109" s="182"/>
      <c r="AM109" s="182"/>
      <c r="AN109" s="182"/>
      <c r="AO109" s="145"/>
      <c r="AP109" s="97">
        <f ca="1">TblProd[[#This Row],[Platinum]]</f>
        <v>585441</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44875.374999999745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1200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4]])*2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3</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44875.41666666641</v>
      </c>
      <c r="AG110" s="182"/>
      <c r="AH110" s="182"/>
      <c r="AI110" s="182"/>
      <c r="AJ110" s="182"/>
      <c r="AK110" s="182"/>
      <c r="AL110" s="182"/>
      <c r="AM110" s="182"/>
      <c r="AN110" s="182"/>
      <c r="AO110" s="145"/>
      <c r="AP110" s="97">
        <f ca="1">TblProd[[#This Row],[Platinum]]</f>
        <v>590927</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44875.41666666641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1200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4]])*2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3</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44875.458333333074</v>
      </c>
      <c r="AG111" s="182"/>
      <c r="AH111" s="182"/>
      <c r="AI111" s="182"/>
      <c r="AJ111" s="182"/>
      <c r="AK111" s="182"/>
      <c r="AL111" s="182"/>
      <c r="AM111" s="182"/>
      <c r="AN111" s="182"/>
      <c r="AO111" s="145"/>
      <c r="AP111" s="97">
        <f ca="1">TblProd[[#This Row],[Platinum]]</f>
        <v>596413</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44875.458333333074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1200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4]])*2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3</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44875.499999999738</v>
      </c>
      <c r="AG112" s="182"/>
      <c r="AH112" s="182"/>
      <c r="AI112" s="182"/>
      <c r="AJ112" s="182"/>
      <c r="AK112" s="182"/>
      <c r="AL112" s="182"/>
      <c r="AM112" s="182"/>
      <c r="AN112" s="182"/>
      <c r="AO112" s="145"/>
      <c r="AP112" s="97">
        <f ca="1">TblProd[[#This Row],[Platinum]]</f>
        <v>601899</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44875.499999999738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1200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4]])*2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3</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44875.541666666402</v>
      </c>
      <c r="AG113" s="182"/>
      <c r="AH113" s="182"/>
      <c r="AI113" s="182"/>
      <c r="AJ113" s="182"/>
      <c r="AK113" s="182"/>
      <c r="AL113" s="182"/>
      <c r="AM113" s="182"/>
      <c r="AN113" s="182"/>
      <c r="AO113" s="145"/>
      <c r="AP113" s="97">
        <f ca="1">TblProd[[#This Row],[Platinum]]</f>
        <v>607385</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44875.541666666402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1200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4]])*2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3</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44875.583333333067</v>
      </c>
      <c r="AG114" s="182"/>
      <c r="AH114" s="182"/>
      <c r="AI114" s="182"/>
      <c r="AJ114" s="182"/>
      <c r="AK114" s="182"/>
      <c r="AL114" s="182"/>
      <c r="AM114" s="182"/>
      <c r="AN114" s="182"/>
      <c r="AO114" s="145"/>
      <c r="AP114" s="97">
        <f ca="1">TblProd[[#This Row],[Platinum]]</f>
        <v>612871</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44875.583333333067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1200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4]])*2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3</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44875.624999999731</v>
      </c>
      <c r="AG115" s="182"/>
      <c r="AH115" s="182"/>
      <c r="AI115" s="182"/>
      <c r="AJ115" s="182"/>
      <c r="AK115" s="182"/>
      <c r="AL115" s="182"/>
      <c r="AM115" s="182"/>
      <c r="AN115" s="182"/>
      <c r="AO115" s="145"/>
      <c r="AP115" s="97">
        <f ca="1">TblProd[[#This Row],[Platinum]]</f>
        <v>618357</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44875.624999999731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1200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4]])*2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3</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44875.666666666395</v>
      </c>
      <c r="AG116" s="182"/>
      <c r="AH116" s="182"/>
      <c r="AI116" s="182"/>
      <c r="AJ116" s="182"/>
      <c r="AK116" s="182"/>
      <c r="AL116" s="182"/>
      <c r="AM116" s="182"/>
      <c r="AN116" s="182"/>
      <c r="AO116" s="145"/>
      <c r="AP116" s="97">
        <f ca="1">TblProd[[#This Row],[Platinum]]</f>
        <v>623843</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44875.666666666395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1200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4]])*2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3</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44875.708333333059</v>
      </c>
      <c r="AG117" s="182"/>
      <c r="AH117" s="182"/>
      <c r="AI117" s="182"/>
      <c r="AJ117" s="182"/>
      <c r="AK117" s="182"/>
      <c r="AL117" s="182"/>
      <c r="AM117" s="182"/>
      <c r="AN117" s="182"/>
      <c r="AO117" s="145"/>
      <c r="AP117" s="97">
        <f ca="1">TblProd[[#This Row],[Platinum]]</f>
        <v>629329</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44875.708333333059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1200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4]])*2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3</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44875.749999999724</v>
      </c>
      <c r="AG118" s="182"/>
      <c r="AH118" s="182"/>
      <c r="AI118" s="182"/>
      <c r="AJ118" s="182"/>
      <c r="AK118" s="182"/>
      <c r="AL118" s="182"/>
      <c r="AM118" s="182"/>
      <c r="AN118" s="182"/>
      <c r="AO118" s="145"/>
      <c r="AP118" s="97">
        <f ca="1">TblProd[[#This Row],[Platinum]]</f>
        <v>634815</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44875.749999999724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1200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4]])*2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3</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44875.791666666388</v>
      </c>
      <c r="AG119" s="182"/>
      <c r="AH119" s="182"/>
      <c r="AI119" s="182"/>
      <c r="AJ119" s="182"/>
      <c r="AK119" s="182"/>
      <c r="AL119" s="182"/>
      <c r="AM119" s="182"/>
      <c r="AN119" s="182"/>
      <c r="AO119" s="145"/>
      <c r="AP119" s="97">
        <f ca="1">TblProd[[#This Row],[Platinum]]</f>
        <v>640301</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44875.791666666388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1200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4]])*2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3</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44875.833333333052</v>
      </c>
      <c r="AG120" s="182"/>
      <c r="AH120" s="182"/>
      <c r="AI120" s="182"/>
      <c r="AJ120" s="182"/>
      <c r="AK120" s="182"/>
      <c r="AL120" s="182"/>
      <c r="AM120" s="182"/>
      <c r="AN120" s="182"/>
      <c r="AO120" s="145"/>
      <c r="AP120" s="97">
        <f ca="1">TblProd[[#This Row],[Platinum]]</f>
        <v>645787</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44875.833333333052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1200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4]])*2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3</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44875.874999999716</v>
      </c>
      <c r="AG121" s="182"/>
      <c r="AH121" s="182"/>
      <c r="AI121" s="182"/>
      <c r="AJ121" s="182"/>
      <c r="AK121" s="182"/>
      <c r="AL121" s="182"/>
      <c r="AM121" s="182"/>
      <c r="AN121" s="182"/>
      <c r="AO121" s="145"/>
      <c r="AP121" s="97">
        <f ca="1">TblProd[[#This Row],[Platinum]]</f>
        <v>651273</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44875.874999999716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1200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4]])*2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3</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44875.91666666638</v>
      </c>
      <c r="AG122" s="182"/>
      <c r="AH122" s="182"/>
      <c r="AI122" s="182"/>
      <c r="AJ122" s="182"/>
      <c r="AK122" s="182"/>
      <c r="AL122" s="182"/>
      <c r="AM122" s="182"/>
      <c r="AN122" s="182"/>
      <c r="AO122" s="145"/>
      <c r="AP122" s="97">
        <f ca="1">TblProd[[#This Row],[Platinum]]</f>
        <v>656759</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44875.91666666638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1200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4]])*2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3</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44875.958333333045</v>
      </c>
      <c r="AG123" s="182"/>
      <c r="AH123" s="182"/>
      <c r="AI123" s="182"/>
      <c r="AJ123" s="182"/>
      <c r="AK123" s="182"/>
      <c r="AL123" s="182"/>
      <c r="AM123" s="182"/>
      <c r="AN123" s="182"/>
      <c r="AO123" s="145"/>
      <c r="AP123" s="97">
        <f ca="1">TblProd[[#This Row],[Platinum]]</f>
        <v>662245</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44875.958333333045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1200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4]])*2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3</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44875.999999999709</v>
      </c>
      <c r="AG124" s="182"/>
      <c r="AH124" s="182"/>
      <c r="AI124" s="182"/>
      <c r="AJ124" s="182"/>
      <c r="AK124" s="182"/>
      <c r="AL124" s="182"/>
      <c r="AM124" s="182"/>
      <c r="AN124" s="182"/>
      <c r="AO124" s="145"/>
      <c r="AP124" s="97">
        <f ca="1">TblProd[[#This Row],[Platinum]]</f>
        <v>667731</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44875.999999999709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1200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4]])*2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3</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44876.041666666373</v>
      </c>
      <c r="AG125" s="161"/>
      <c r="AH125" s="182"/>
      <c r="AI125" s="161"/>
      <c r="AJ125" s="182"/>
      <c r="AK125" s="182"/>
      <c r="AL125" s="182"/>
      <c r="AM125" s="182"/>
      <c r="AN125" s="182"/>
      <c r="AO125" s="145"/>
      <c r="AP125" s="97">
        <f ca="1">TblProd[[#This Row],[Platinum]]</f>
        <v>673217</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44876.041666666373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1200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4]])*2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3</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44876.083333333037</v>
      </c>
      <c r="AG126" s="182"/>
      <c r="AH126" s="182"/>
      <c r="AI126" s="182"/>
      <c r="AJ126" s="182"/>
      <c r="AK126" s="182"/>
      <c r="AL126" s="182"/>
      <c r="AM126" s="182"/>
      <c r="AN126" s="182"/>
      <c r="AO126" s="145"/>
      <c r="AP126" s="97">
        <f ca="1">TblProd[[#This Row],[Platinum]]</f>
        <v>678703</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44876.083333333037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1200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4]])*2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3</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44876.124999999702</v>
      </c>
      <c r="AG127" s="182"/>
      <c r="AH127" s="182"/>
      <c r="AI127" s="182"/>
      <c r="AJ127" s="182"/>
      <c r="AK127" s="182"/>
      <c r="AL127" s="182"/>
      <c r="AM127" s="182"/>
      <c r="AN127" s="182"/>
      <c r="AO127" s="145"/>
      <c r="AP127" s="97">
        <f ca="1">TblProd[[#This Row],[Platinum]]</f>
        <v>684189</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44876.124999999702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1200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4]])*2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3</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44876.166666666366</v>
      </c>
      <c r="AG128" s="182"/>
      <c r="AH128" s="182"/>
      <c r="AI128" s="182"/>
      <c r="AJ128" s="182"/>
      <c r="AK128" s="182"/>
      <c r="AL128" s="182"/>
      <c r="AM128" s="182"/>
      <c r="AN128" s="182"/>
      <c r="AO128" s="145"/>
      <c r="AP128" s="97">
        <f ca="1">TblProd[[#This Row],[Platinum]]</f>
        <v>689675</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44876.166666666366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1200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4]])*2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3</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44876.20833333303</v>
      </c>
      <c r="AG129" s="182"/>
      <c r="AH129" s="182"/>
      <c r="AI129" s="182"/>
      <c r="AJ129" s="182"/>
      <c r="AK129" s="182"/>
      <c r="AL129" s="182"/>
      <c r="AM129" s="182"/>
      <c r="AN129" s="182"/>
      <c r="AO129" s="145"/>
      <c r="AP129" s="97">
        <f ca="1">TblProd[[#This Row],[Platinum]]</f>
        <v>695161</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44876.20833333303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1200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4]])*2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3</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44876.249999999694</v>
      </c>
      <c r="AG130" s="182"/>
      <c r="AH130" s="182"/>
      <c r="AI130" s="182"/>
      <c r="AJ130" s="182"/>
      <c r="AK130" s="182"/>
      <c r="AL130" s="182"/>
      <c r="AM130" s="182"/>
      <c r="AN130" s="182"/>
      <c r="AO130" s="145"/>
      <c r="AP130" s="97">
        <f ca="1">TblProd[[#This Row],[Platinum]]</f>
        <v>700647</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44876.249999999694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1200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4]])*2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3</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44876.291666666359</v>
      </c>
      <c r="AG131" s="182"/>
      <c r="AH131" s="182"/>
      <c r="AI131" s="182"/>
      <c r="AJ131" s="182"/>
      <c r="AK131" s="182"/>
      <c r="AL131" s="182"/>
      <c r="AM131" s="182"/>
      <c r="AN131" s="182"/>
      <c r="AO131" s="145"/>
      <c r="AP131" s="97">
        <f ca="1">TblProd[[#This Row],[Platinum]]</f>
        <v>706133</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44876.291666666359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1200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4]])*2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3</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44876.333333333023</v>
      </c>
      <c r="AG132" s="182"/>
      <c r="AH132" s="182"/>
      <c r="AI132" s="182"/>
      <c r="AJ132" s="182"/>
      <c r="AK132" s="182"/>
      <c r="AL132" s="182"/>
      <c r="AM132" s="182"/>
      <c r="AN132" s="182"/>
      <c r="AO132" s="145"/>
      <c r="AP132" s="97">
        <f ca="1">TblProd[[#This Row],[Platinum]]</f>
        <v>711619</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44876.333333333023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1200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4]])*2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3</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44876.374999999687</v>
      </c>
      <c r="AG133" s="182"/>
      <c r="AH133" s="182"/>
      <c r="AI133" s="182"/>
      <c r="AJ133" s="182"/>
      <c r="AK133" s="182"/>
      <c r="AL133" s="182"/>
      <c r="AM133" s="182"/>
      <c r="AN133" s="182"/>
      <c r="AO133" s="145"/>
      <c r="AP133" s="97">
        <f ca="1">TblProd[[#This Row],[Platinum]]</f>
        <v>717105</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44876.374999999687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1200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4]])*2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3</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44876.416666666351</v>
      </c>
      <c r="AG134" s="182"/>
      <c r="AH134" s="182"/>
      <c r="AI134" s="182"/>
      <c r="AJ134" s="182"/>
      <c r="AK134" s="182"/>
      <c r="AL134" s="182"/>
      <c r="AM134" s="182"/>
      <c r="AN134" s="182"/>
      <c r="AO134" s="145"/>
      <c r="AP134" s="97">
        <f ca="1">TblProd[[#This Row],[Platinum]]</f>
        <v>722591</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44876.416666666351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1200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4]])*2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3</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44876.458333333016</v>
      </c>
      <c r="AG135" s="182"/>
      <c r="AH135" s="182"/>
      <c r="AI135" s="182"/>
      <c r="AJ135" s="182"/>
      <c r="AK135" s="182"/>
      <c r="AL135" s="182"/>
      <c r="AM135" s="182"/>
      <c r="AN135" s="182"/>
      <c r="AO135" s="145"/>
      <c r="AP135" s="97">
        <f ca="1">TblProd[[#This Row],[Platinum]]</f>
        <v>728077</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44876.458333333016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1200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4]])*2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3</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44876.49999999968</v>
      </c>
      <c r="AG136" s="182"/>
      <c r="AH136" s="161"/>
      <c r="AI136" s="182"/>
      <c r="AJ136" s="161"/>
      <c r="AK136" s="161"/>
      <c r="AL136" s="161"/>
      <c r="AM136" s="161"/>
      <c r="AN136" s="182"/>
      <c r="AO136" s="145"/>
      <c r="AP136" s="97">
        <f ca="1">TblProd[[#This Row],[Platinum]]</f>
        <v>733563</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44876.49999999968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1200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4]])*2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3</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5" t="s">
        <v>321</v>
      </c>
      <c r="C1269" s="495"/>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16384" width="9.140625" style="45"/>
  </cols>
  <sheetData>
    <row r="1" spans="1:41" s="28" customFormat="1" x14ac:dyDescent="0.2">
      <c r="O1" s="502" t="s">
        <v>1111</v>
      </c>
      <c r="U1" s="257"/>
      <c r="X1" s="28" t="s">
        <v>33</v>
      </c>
      <c r="AA1" s="28" t="s">
        <v>211</v>
      </c>
      <c r="AF1" s="28" t="s">
        <v>91</v>
      </c>
      <c r="AG1" s="28" t="s">
        <v>94</v>
      </c>
      <c r="AH1" s="28" t="s">
        <v>93</v>
      </c>
      <c r="AI1" s="28" t="s">
        <v>367</v>
      </c>
      <c r="AJ1" s="28" t="s">
        <v>92</v>
      </c>
      <c r="AK1" s="28" t="s">
        <v>103</v>
      </c>
      <c r="AL1" s="28" t="s">
        <v>335</v>
      </c>
      <c r="AM1" s="28" t="s">
        <v>349</v>
      </c>
      <c r="AN1" s="28" t="s">
        <v>507</v>
      </c>
    </row>
    <row r="2" spans="1:41" s="28" customFormat="1" x14ac:dyDescent="0.2">
      <c r="G2" s="28" t="s">
        <v>201</v>
      </c>
      <c r="L2" s="257" t="s">
        <v>544</v>
      </c>
      <c r="M2" s="284" t="s">
        <v>94</v>
      </c>
      <c r="N2" s="284" t="s">
        <v>93</v>
      </c>
      <c r="O2" s="502"/>
      <c r="P2" s="257" t="s">
        <v>92</v>
      </c>
      <c r="Q2" s="257" t="s">
        <v>103</v>
      </c>
      <c r="R2" s="257" t="s">
        <v>335</v>
      </c>
      <c r="S2" s="257" t="s">
        <v>349</v>
      </c>
      <c r="T2" s="257" t="s">
        <v>507</v>
      </c>
      <c r="U2" s="257" t="s">
        <v>90</v>
      </c>
      <c r="V2" s="257" t="s">
        <v>509</v>
      </c>
    </row>
    <row r="3" spans="1:41" s="286" customFormat="1" ht="29.25" customHeight="1" thickBot="1" x14ac:dyDescent="0.25">
      <c r="A3" s="138" t="s">
        <v>0</v>
      </c>
      <c r="B3" s="138" t="s">
        <v>1</v>
      </c>
      <c r="C3" s="138" t="s">
        <v>12</v>
      </c>
      <c r="D3" s="138" t="s">
        <v>200</v>
      </c>
      <c r="E3" s="138" t="s">
        <v>316</v>
      </c>
      <c r="F3" s="138" t="s">
        <v>330</v>
      </c>
      <c r="G3" s="138" t="s">
        <v>202</v>
      </c>
      <c r="H3" s="138" t="s">
        <v>203</v>
      </c>
      <c r="I3" s="138" t="s">
        <v>204</v>
      </c>
      <c r="J3" s="138" t="s">
        <v>205</v>
      </c>
      <c r="K3" s="431" t="s">
        <v>206</v>
      </c>
      <c r="L3" s="138" t="s">
        <v>269</v>
      </c>
      <c r="M3" s="285" t="s">
        <v>536</v>
      </c>
      <c r="N3" s="285" t="s">
        <v>268</v>
      </c>
      <c r="O3" s="138" t="s">
        <v>1112</v>
      </c>
      <c r="P3" s="138" t="s">
        <v>304</v>
      </c>
      <c r="Q3" s="138" t="s">
        <v>341</v>
      </c>
      <c r="R3" s="138" t="s">
        <v>1114</v>
      </c>
      <c r="S3" s="138" t="s">
        <v>347</v>
      </c>
      <c r="T3" s="138" t="s">
        <v>432</v>
      </c>
      <c r="U3" s="138" t="s">
        <v>1104</v>
      </c>
      <c r="V3" s="138" t="s">
        <v>510</v>
      </c>
      <c r="W3" s="138" t="s">
        <v>791</v>
      </c>
      <c r="X3" s="138" t="s">
        <v>939</v>
      </c>
      <c r="Y3" s="138" t="s">
        <v>940</v>
      </c>
      <c r="Z3" s="138" t="s">
        <v>792</v>
      </c>
      <c r="AA3" s="138" t="s">
        <v>941</v>
      </c>
      <c r="AB3" s="138" t="s">
        <v>942</v>
      </c>
      <c r="AC3" s="138" t="s">
        <v>943</v>
      </c>
      <c r="AD3" s="138" t="s">
        <v>944</v>
      </c>
      <c r="AE3" s="138" t="s">
        <v>945</v>
      </c>
      <c r="AF3" s="138" t="s">
        <v>948</v>
      </c>
      <c r="AG3" s="138" t="s">
        <v>949</v>
      </c>
      <c r="AH3" s="138" t="s">
        <v>950</v>
      </c>
      <c r="AI3" s="138" t="s">
        <v>946</v>
      </c>
      <c r="AJ3" s="138" t="s">
        <v>951</v>
      </c>
      <c r="AK3" s="138" t="s">
        <v>952</v>
      </c>
      <c r="AL3" s="138" t="s">
        <v>1123</v>
      </c>
      <c r="AM3" s="138" t="s">
        <v>953</v>
      </c>
      <c r="AN3" s="138" t="s">
        <v>947</v>
      </c>
      <c r="AO3" s="439" t="s">
        <v>1105</v>
      </c>
    </row>
    <row r="4" spans="1:41" x14ac:dyDescent="0.2">
      <c r="A4" s="140">
        <f>TblRezone[[#This Row],[Hour]]</f>
        <v>1</v>
      </c>
      <c r="B4" s="157">
        <f ca="1">TblConstr[[#This Row],[Land]]</f>
        <v>250</v>
      </c>
      <c r="C4" s="97">
        <f ca="1">TblProd[[#This Row],[Mana]]</f>
        <v>0</v>
      </c>
      <c r="D4" s="424">
        <f>1-TblMagic[[#This Row],[Wiz str cost]]</f>
        <v>1</v>
      </c>
      <c r="E4" s="162">
        <f>Imps!L4</f>
        <v>44871</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44871.041666666664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44871.083333333328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44871.124999999993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44871.166666666657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44871.208333333321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44871.249999999985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44871.29166666665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44871.333333333314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44871.374999999978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44871.416666666642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44871.458333333307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44871.499999999971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44871.541666666635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44871.583333333299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44871.624999999964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44871.666666666628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44871.708333333292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44871.749999999956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44871.791666666621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44871.833333333285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44871.874999999949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44871.916666666613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44871.958333333278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44871.999999999942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44872.041666666606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44872.08333333327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44872.124999999935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44872.166666666599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44872.208333333263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44872.249999999927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44872.291666666591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44872.333333333256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44872.37499999992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44872.416666666584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44872.458333333248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44872.499999999913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44872.541666666577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44872.583333333241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44872.624999999905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44872.66666666657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44872.708333333234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44872.749999999898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44872.791666666562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44872.833333333227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44872.874999999891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44872.916666666555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44872.958333333219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44872.999999999884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44873.041666666548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44873.083333333212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44873.124999999876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44873.166666666541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44873.208333333205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44873.249999999869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44873.291666666533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44873.333333333198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44873.374999999862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44873.416666666526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44873.45833333319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44873.499999999854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44873.541666666519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44873.583333333183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44873.624999999847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44873.666666666511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44873.708333333176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44873.74999999984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44873.791666666504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44873.833333333168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44873.874999999833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44873.916666666497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44873.958333333161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44873.999999999825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44874.04166666649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44874.083333333154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44874.124999999818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44874.166666666482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44874.208333333147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44874.249999999811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44874.291666666475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44874.333333333139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44874.374999999804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44874.416666666468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44874.458333333132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44874.499999999796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44874.541666666461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44874.583333333125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44874.624999999789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44874.666666666453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44874.708333333117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44874.749999999782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44874.791666666446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44874.83333333311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44874.874999999774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44874.916666666439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44874.958333333103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44874.999999999767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44875.041666666431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44875.083333333096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44875.12499999976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44875.166666666424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44875.208333333088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44875.249999999753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44875.291666666417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44875.333333333081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44875.374999999745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44875.41666666641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44875.458333333074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44875.499999999738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44875.541666666402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44875.583333333067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44875.624999999731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44875.666666666395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44875.708333333059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44875.749999999724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44875.791666666388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44875.833333333052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44875.874999999716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44875.91666666638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44875.958333333045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44875.999999999709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44876.041666666373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44876.083333333037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44876.124999999702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44876.166666666366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44876.20833333303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44876.249999999694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44876.291666666359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44876.333333333023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44876.374999999687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44876.416666666351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44876.458333333016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44876.49999999968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5" t="s">
        <v>321</v>
      </c>
      <c r="D1269" s="448"/>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1026</v>
      </c>
      <c r="F2" s="304">
        <f>IFERROR(SMALL(TblTech[Activate @ hour],1),0)</f>
        <v>0</v>
      </c>
      <c r="G2" s="45" t="s">
        <v>1092</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377</v>
      </c>
      <c r="D3" s="290" t="s">
        <v>33</v>
      </c>
      <c r="E3" s="290" t="s">
        <v>791</v>
      </c>
      <c r="F3" s="290" t="s">
        <v>1027</v>
      </c>
      <c r="G3" s="290" t="s">
        <v>954</v>
      </c>
      <c r="H3" s="290" t="s">
        <v>998</v>
      </c>
      <c r="I3" s="290" t="s">
        <v>999</v>
      </c>
      <c r="J3" s="290" t="s">
        <v>792</v>
      </c>
      <c r="K3" s="258" t="s">
        <v>793</v>
      </c>
      <c r="L3" s="290" t="s">
        <v>955</v>
      </c>
      <c r="M3" s="224" t="s">
        <v>545</v>
      </c>
      <c r="N3" s="224" t="s">
        <v>547</v>
      </c>
      <c r="O3" s="224" t="s">
        <v>549</v>
      </c>
      <c r="P3" s="224" t="s">
        <v>551</v>
      </c>
      <c r="Q3" s="224" t="s">
        <v>553</v>
      </c>
      <c r="R3" s="224" t="s">
        <v>555</v>
      </c>
      <c r="S3" s="224" t="s">
        <v>556</v>
      </c>
      <c r="T3" s="224" t="s">
        <v>557</v>
      </c>
      <c r="U3" s="224" t="s">
        <v>558</v>
      </c>
      <c r="V3" s="224" t="s">
        <v>560</v>
      </c>
      <c r="W3" s="224" t="s">
        <v>562</v>
      </c>
      <c r="X3" s="224" t="s">
        <v>563</v>
      </c>
      <c r="Y3" s="224" t="s">
        <v>564</v>
      </c>
      <c r="Z3" s="224" t="s">
        <v>565</v>
      </c>
      <c r="AA3" s="224" t="s">
        <v>567</v>
      </c>
      <c r="AB3" s="224" t="s">
        <v>569</v>
      </c>
      <c r="AC3" s="224" t="s">
        <v>570</v>
      </c>
      <c r="AD3" s="224" t="s">
        <v>572</v>
      </c>
      <c r="AE3" s="224" t="s">
        <v>574</v>
      </c>
      <c r="AF3" s="224" t="s">
        <v>575</v>
      </c>
      <c r="AG3" s="224" t="s">
        <v>576</v>
      </c>
      <c r="AH3" s="224" t="s">
        <v>578</v>
      </c>
      <c r="AI3" s="224" t="s">
        <v>580</v>
      </c>
      <c r="AJ3" s="224" t="s">
        <v>582</v>
      </c>
      <c r="AK3" s="224" t="s">
        <v>583</v>
      </c>
      <c r="AL3" s="224" t="s">
        <v>585</v>
      </c>
      <c r="AM3" s="224" t="s">
        <v>586</v>
      </c>
      <c r="AN3" s="224" t="s">
        <v>587</v>
      </c>
      <c r="AO3" s="224" t="s">
        <v>588</v>
      </c>
      <c r="AP3" s="224" t="s">
        <v>590</v>
      </c>
      <c r="AQ3" s="224" t="s">
        <v>592</v>
      </c>
      <c r="AR3" s="224" t="s">
        <v>593</v>
      </c>
      <c r="AS3" s="224" t="s">
        <v>594</v>
      </c>
      <c r="AT3" s="224" t="s">
        <v>595</v>
      </c>
      <c r="AU3" s="224" t="s">
        <v>596</v>
      </c>
      <c r="AV3" s="224" t="s">
        <v>597</v>
      </c>
      <c r="AW3" s="224" t="s">
        <v>599</v>
      </c>
      <c r="AX3" s="224" t="s">
        <v>601</v>
      </c>
      <c r="AY3" s="224" t="s">
        <v>602</v>
      </c>
      <c r="AZ3" s="224" t="s">
        <v>603</v>
      </c>
      <c r="BA3" s="224" t="s">
        <v>604</v>
      </c>
      <c r="BB3" s="224" t="s">
        <v>605</v>
      </c>
      <c r="BC3" s="224" t="s">
        <v>606</v>
      </c>
      <c r="BD3" s="224" t="s">
        <v>607</v>
      </c>
      <c r="BE3" s="224" t="s">
        <v>608</v>
      </c>
      <c r="BF3" s="224" t="s">
        <v>609</v>
      </c>
      <c r="BG3" s="224" t="s">
        <v>610</v>
      </c>
      <c r="BH3" s="224" t="s">
        <v>612</v>
      </c>
      <c r="BI3" s="224" t="s">
        <v>613</v>
      </c>
      <c r="BJ3" s="224" t="s">
        <v>615</v>
      </c>
      <c r="BK3" s="224" t="s">
        <v>616</v>
      </c>
      <c r="BL3" s="224" t="s">
        <v>617</v>
      </c>
      <c r="BM3" s="224" t="s">
        <v>619</v>
      </c>
      <c r="BN3" s="224" t="s">
        <v>621</v>
      </c>
      <c r="BO3" s="224" t="s">
        <v>622</v>
      </c>
      <c r="BP3" s="224" t="s">
        <v>623</v>
      </c>
      <c r="BQ3" s="224" t="s">
        <v>625</v>
      </c>
      <c r="BR3" s="224" t="s">
        <v>626</v>
      </c>
      <c r="BS3" s="224" t="s">
        <v>628</v>
      </c>
      <c r="BT3" s="224" t="s">
        <v>630</v>
      </c>
      <c r="BU3" s="224" t="s">
        <v>631</v>
      </c>
      <c r="BV3" s="224" t="s">
        <v>633</v>
      </c>
      <c r="BW3" s="224" t="s">
        <v>634</v>
      </c>
      <c r="BX3" s="224" t="s">
        <v>635</v>
      </c>
      <c r="BY3" s="224" t="s">
        <v>637</v>
      </c>
      <c r="BZ3" s="224" t="s">
        <v>638</v>
      </c>
      <c r="CA3" s="224" t="s">
        <v>694</v>
      </c>
    </row>
    <row r="4" spans="1:79" x14ac:dyDescent="0.2">
      <c r="A4" s="291">
        <f>TblRezone[[#This Row],[Hour]]</f>
        <v>1</v>
      </c>
      <c r="B4" s="292">
        <f ca="1">TblExplore[[#This Row],[Land-DB]]</f>
        <v>250</v>
      </c>
      <c r="C4" s="293">
        <f ca="1">TblProd[[#This Row],[Techpoints]]</f>
        <v>0</v>
      </c>
      <c r="D4" s="293">
        <f ca="1">TblProd[[#This Row],[Required]]</f>
        <v>3750</v>
      </c>
      <c r="E4" s="294"/>
      <c r="F4" s="295"/>
      <c r="G4" s="296" t="s">
        <v>545</v>
      </c>
      <c r="H4" s="297" t="s">
        <v>695</v>
      </c>
      <c r="I4" s="296" t="s">
        <v>546</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547</v>
      </c>
      <c r="H5" s="297" t="s">
        <v>696</v>
      </c>
      <c r="I5" s="296" t="s">
        <v>548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549</v>
      </c>
      <c r="H6" s="297" t="s">
        <v>697</v>
      </c>
      <c r="I6" s="296" t="s">
        <v>550</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551</v>
      </c>
      <c r="H7" s="297" t="s">
        <v>698</v>
      </c>
      <c r="I7" s="296" t="s">
        <v>552</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553</v>
      </c>
      <c r="H8" s="297" t="s">
        <v>699</v>
      </c>
      <c r="I8" s="296" t="s">
        <v>554</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555</v>
      </c>
      <c r="H9" s="297" t="s">
        <v>710</v>
      </c>
      <c r="I9" s="296" t="s">
        <v>571</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556</v>
      </c>
      <c r="H10" s="297" t="s">
        <v>739</v>
      </c>
      <c r="I10" s="296" t="s">
        <v>754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557</v>
      </c>
      <c r="H11" s="297" t="s">
        <v>702</v>
      </c>
      <c r="I11" s="296" t="s">
        <v>1073</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558</v>
      </c>
      <c r="H12" s="297" t="s">
        <v>721</v>
      </c>
      <c r="I12" s="296" t="s">
        <v>591</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560</v>
      </c>
      <c r="H13" s="297" t="s">
        <v>703</v>
      </c>
      <c r="I13" s="296" t="s">
        <v>559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562</v>
      </c>
      <c r="H14" s="297" t="s">
        <v>1085</v>
      </c>
      <c r="I14" s="296" t="s">
        <v>755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563</v>
      </c>
      <c r="H16" s="297" t="s">
        <v>705</v>
      </c>
      <c r="I16" s="296" t="s">
        <v>766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564</v>
      </c>
      <c r="H17" s="297" t="s">
        <v>706</v>
      </c>
      <c r="I17" s="296" t="s">
        <v>767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565</v>
      </c>
      <c r="H18" s="297" t="s">
        <v>707</v>
      </c>
      <c r="I18" s="296" t="s">
        <v>566</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567</v>
      </c>
      <c r="H19" s="297" t="s">
        <v>708</v>
      </c>
      <c r="I19" s="296" t="s">
        <v>568</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569</v>
      </c>
      <c r="H20" s="297" t="s">
        <v>709</v>
      </c>
      <c r="I20" s="296" t="s">
        <v>1074</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570</v>
      </c>
      <c r="H21" s="297" t="s">
        <v>701</v>
      </c>
      <c r="I21" s="296" t="s">
        <v>756</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572</v>
      </c>
      <c r="H22" s="297" t="s">
        <v>728</v>
      </c>
      <c r="I22" s="296" t="s">
        <v>1075</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574</v>
      </c>
      <c r="H23" s="297" t="s">
        <v>712</v>
      </c>
      <c r="I23" s="296" t="s">
        <v>757</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575</v>
      </c>
      <c r="H24" s="297" t="s">
        <v>713</v>
      </c>
      <c r="I24" s="296" t="s">
        <v>758</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576</v>
      </c>
      <c r="H25" s="297" t="s">
        <v>714</v>
      </c>
      <c r="I25" s="296" t="s">
        <v>577</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578</v>
      </c>
      <c r="H27" s="297" t="s">
        <v>715</v>
      </c>
      <c r="I27" s="296" t="s">
        <v>579</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580</v>
      </c>
      <c r="H28" s="297" t="s">
        <v>716</v>
      </c>
      <c r="I28" s="296" t="s">
        <v>581</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582</v>
      </c>
      <c r="H29" s="297" t="s">
        <v>717</v>
      </c>
      <c r="I29" s="296" t="s">
        <v>768</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583</v>
      </c>
      <c r="H30" s="297" t="s">
        <v>718</v>
      </c>
      <c r="I30" s="296" t="s">
        <v>584</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585</v>
      </c>
      <c r="H31" s="297" t="s">
        <v>700</v>
      </c>
      <c r="I31" s="296" t="s">
        <v>1076</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586</v>
      </c>
      <c r="H32" s="297" t="s">
        <v>711</v>
      </c>
      <c r="I32" s="296" t="s">
        <v>573</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587</v>
      </c>
      <c r="H33" s="297" t="s">
        <v>719</v>
      </c>
      <c r="I33" s="296" t="s">
        <v>759</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588</v>
      </c>
      <c r="H34" s="297" t="s">
        <v>720</v>
      </c>
      <c r="I34" s="296" t="s">
        <v>589</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590</v>
      </c>
      <c r="H35" s="297" t="s">
        <v>704</v>
      </c>
      <c r="I35" s="296" t="s">
        <v>561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592</v>
      </c>
      <c r="H37" s="297" t="s">
        <v>722</v>
      </c>
      <c r="I37" s="296" t="s">
        <v>776</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593</v>
      </c>
      <c r="H38" s="297" t="s">
        <v>723</v>
      </c>
      <c r="I38" s="296" t="s">
        <v>641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594</v>
      </c>
      <c r="H39" s="297" t="s">
        <v>724</v>
      </c>
      <c r="I39" s="296" t="s">
        <v>1077</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595</v>
      </c>
      <c r="H40" s="297" t="s">
        <v>725</v>
      </c>
      <c r="I40" s="296" t="s">
        <v>1078</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596</v>
      </c>
      <c r="H41" s="297" t="s">
        <v>1084</v>
      </c>
      <c r="I41" s="296" t="s">
        <v>1079</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597</v>
      </c>
      <c r="H42" s="297" t="s">
        <v>727</v>
      </c>
      <c r="I42" s="296" t="s">
        <v>600</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599</v>
      </c>
      <c r="H43" s="297" t="s">
        <v>1086</v>
      </c>
      <c r="I43" s="296" t="s">
        <v>760</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601</v>
      </c>
      <c r="H44" s="297" t="s">
        <v>726</v>
      </c>
      <c r="I44" s="296" t="s">
        <v>598</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602</v>
      </c>
      <c r="H46" s="297" t="s">
        <v>730</v>
      </c>
      <c r="I46" s="296" t="s">
        <v>1080</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603</v>
      </c>
      <c r="H47" s="297" t="s">
        <v>729</v>
      </c>
      <c r="I47" s="296" t="s">
        <v>761</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604</v>
      </c>
      <c r="H48" s="297" t="s">
        <v>731</v>
      </c>
      <c r="I48" s="296" t="s">
        <v>1076</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605</v>
      </c>
      <c r="H49" s="297" t="s">
        <v>732</v>
      </c>
      <c r="I49" s="296" t="s">
        <v>642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606</v>
      </c>
      <c r="H50" s="297" t="s">
        <v>733</v>
      </c>
      <c r="I50" s="296" t="s">
        <v>1076</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607</v>
      </c>
      <c r="H51" s="297" t="s">
        <v>400</v>
      </c>
      <c r="I51" s="296" t="s">
        <v>1081</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608</v>
      </c>
      <c r="H52" s="297" t="s">
        <v>735</v>
      </c>
      <c r="I52" s="296" t="s">
        <v>643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609</v>
      </c>
      <c r="H54" s="297" t="s">
        <v>736</v>
      </c>
      <c r="I54" s="296" t="s">
        <v>573</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610</v>
      </c>
      <c r="H55" s="297" t="s">
        <v>737</v>
      </c>
      <c r="I55" s="296" t="s">
        <v>611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612</v>
      </c>
      <c r="H56" s="297" t="s">
        <v>1087</v>
      </c>
      <c r="I56" s="296" t="s">
        <v>1082</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613</v>
      </c>
      <c r="H57" s="297" t="s">
        <v>738</v>
      </c>
      <c r="I57" s="296" t="s">
        <v>614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615</v>
      </c>
      <c r="H58" s="297" t="s">
        <v>734</v>
      </c>
      <c r="I58" s="296" t="s">
        <v>762</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616</v>
      </c>
      <c r="H59" s="297" t="s">
        <v>740</v>
      </c>
      <c r="I59" s="296" t="s">
        <v>763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617</v>
      </c>
      <c r="H61" s="297" t="s">
        <v>741</v>
      </c>
      <c r="I61" s="296" t="s">
        <v>618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619</v>
      </c>
      <c r="H62" s="297" t="s">
        <v>745</v>
      </c>
      <c r="I62" s="296" t="s">
        <v>1083</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621</v>
      </c>
      <c r="H63" s="297" t="s">
        <v>1088</v>
      </c>
      <c r="I63" s="296" t="s">
        <v>764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622</v>
      </c>
      <c r="H64" s="297" t="s">
        <v>743</v>
      </c>
      <c r="I64" s="296" t="s">
        <v>644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623</v>
      </c>
      <c r="H65" s="297" t="s">
        <v>744</v>
      </c>
      <c r="I65" s="296" t="s">
        <v>624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625</v>
      </c>
      <c r="H67" s="297" t="s">
        <v>1089</v>
      </c>
      <c r="I67" s="296" t="s">
        <v>765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626</v>
      </c>
      <c r="H68" s="297" t="s">
        <v>746</v>
      </c>
      <c r="I68" s="296" t="s">
        <v>627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628</v>
      </c>
      <c r="H69" s="297" t="s">
        <v>747</v>
      </c>
      <c r="I69" s="296" t="s">
        <v>629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630</v>
      </c>
      <c r="H70" s="297" t="s">
        <v>748</v>
      </c>
      <c r="I70" s="296" t="s">
        <v>777</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631</v>
      </c>
      <c r="H72" s="297" t="s">
        <v>749</v>
      </c>
      <c r="I72" s="296" t="s">
        <v>632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633</v>
      </c>
      <c r="H73" s="297" t="s">
        <v>750</v>
      </c>
      <c r="I73" s="296" t="s">
        <v>577</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634</v>
      </c>
      <c r="H74" s="297" t="s">
        <v>751</v>
      </c>
      <c r="I74" s="296" t="s">
        <v>778</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635</v>
      </c>
      <c r="H76" s="297" t="s">
        <v>742</v>
      </c>
      <c r="I76" s="296" t="s">
        <v>620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637</v>
      </c>
      <c r="H77" s="297" t="s">
        <v>752</v>
      </c>
      <c r="I77" s="296" t="s">
        <v>636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638</v>
      </c>
      <c r="H79" s="297" t="s">
        <v>753</v>
      </c>
      <c r="I79" s="296" t="s">
        <v>639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1000</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topLeftCell="AG1"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customWidth="1"/>
    <col min="48" max="48" width="3" style="45" customWidth="1"/>
    <col min="49" max="52" width="11.42578125" style="57" customWidth="1"/>
    <col min="53" max="53" width="3" style="45" customWidth="1"/>
    <col min="54" max="57" width="11.42578125" style="57" customWidth="1"/>
    <col min="58" max="58" width="3" style="45" customWidth="1"/>
    <col min="59" max="62" width="11.42578125" style="57" customWidth="1"/>
    <col min="63" max="63" width="3" style="45" customWidth="1"/>
    <col min="64" max="67" width="11.42578125" style="57" customWidth="1"/>
    <col min="68" max="68" width="3" style="45" customWidth="1"/>
    <col min="69" max="72" width="11.42578125" style="57" customWidth="1"/>
    <col min="73" max="73" width="3" style="45" customWidth="1"/>
    <col min="74" max="74" width="12.140625" style="45" customWidth="1"/>
    <col min="75" max="75" width="10.42578125" style="45" customWidth="1"/>
    <col min="76" max="76" width="3" style="45" customWidth="1"/>
    <col min="77" max="77" width="9.85546875" style="45" customWidth="1"/>
    <col min="78" max="78" width="13.5703125" style="45"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287</v>
      </c>
      <c r="K1" s="28"/>
      <c r="O1" s="5" t="s">
        <v>221</v>
      </c>
      <c r="W1" s="5" t="s">
        <v>1028</v>
      </c>
      <c r="Y1" s="28" t="s">
        <v>37</v>
      </c>
      <c r="Z1" s="28"/>
      <c r="AA1" s="28"/>
      <c r="AB1" s="28"/>
      <c r="AC1" s="28"/>
      <c r="AD1" s="28"/>
      <c r="AF1" s="496" t="s">
        <v>215</v>
      </c>
      <c r="AG1" s="496"/>
      <c r="AH1" s="28"/>
      <c r="AI1" s="28"/>
      <c r="AJ1" s="28"/>
      <c r="AK1" s="28"/>
      <c r="AM1" s="496" t="s">
        <v>223</v>
      </c>
      <c r="AN1" s="496"/>
      <c r="AO1" s="28"/>
      <c r="AP1" s="28"/>
      <c r="AR1" s="496" t="s">
        <v>224</v>
      </c>
      <c r="AS1" s="496"/>
      <c r="AT1" s="497"/>
      <c r="AU1" s="28"/>
      <c r="AW1" s="496" t="s">
        <v>225</v>
      </c>
      <c r="AX1" s="496"/>
      <c r="AY1" s="496"/>
      <c r="AZ1" s="28"/>
      <c r="BB1" s="496" t="s">
        <v>226</v>
      </c>
      <c r="BC1" s="496"/>
      <c r="BD1" s="496"/>
      <c r="BE1" s="496"/>
      <c r="BG1" s="496" t="s">
        <v>227</v>
      </c>
      <c r="BH1" s="496"/>
      <c r="BI1" s="496"/>
      <c r="BJ1" s="28"/>
      <c r="BL1" s="496" t="s">
        <v>228</v>
      </c>
      <c r="BM1" s="497"/>
      <c r="BN1" s="497"/>
      <c r="BO1" s="28"/>
      <c r="BQ1" s="496" t="s">
        <v>229</v>
      </c>
      <c r="BR1" s="496"/>
      <c r="BS1" s="496"/>
      <c r="BT1" s="28"/>
      <c r="BV1" s="5" t="s">
        <v>313</v>
      </c>
    </row>
    <row r="2" spans="1:84" s="5" customFormat="1" x14ac:dyDescent="0.2">
      <c r="C2" s="28"/>
      <c r="D2" s="28"/>
      <c r="E2" s="28"/>
      <c r="F2" s="28"/>
      <c r="K2" s="28"/>
      <c r="Y2" s="289" t="s">
        <v>214</v>
      </c>
      <c r="Z2" s="289" t="s">
        <v>216</v>
      </c>
      <c r="AA2" s="289" t="s">
        <v>217</v>
      </c>
      <c r="AB2" s="289" t="s">
        <v>218</v>
      </c>
      <c r="AC2" s="289" t="s">
        <v>219</v>
      </c>
      <c r="AD2" s="289" t="s">
        <v>220</v>
      </c>
      <c r="AF2" s="289" t="s">
        <v>214</v>
      </c>
      <c r="AG2" s="289" t="s">
        <v>216</v>
      </c>
      <c r="AH2" s="289" t="s">
        <v>217</v>
      </c>
      <c r="AI2" s="289" t="s">
        <v>218</v>
      </c>
      <c r="AJ2" s="289" t="s">
        <v>219</v>
      </c>
      <c r="AK2" s="289" t="s">
        <v>220</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791</v>
      </c>
      <c r="C3" s="138" t="s">
        <v>2</v>
      </c>
      <c r="D3" s="138" t="s">
        <v>7</v>
      </c>
      <c r="E3" s="138" t="s">
        <v>3</v>
      </c>
      <c r="F3" s="138" t="s">
        <v>4</v>
      </c>
      <c r="G3" s="138" t="s">
        <v>792</v>
      </c>
      <c r="H3" s="138" t="s">
        <v>279</v>
      </c>
      <c r="I3" s="138" t="s">
        <v>230</v>
      </c>
      <c r="J3" s="138" t="s">
        <v>23</v>
      </c>
      <c r="K3" s="138" t="s">
        <v>0</v>
      </c>
      <c r="L3" s="138" t="s">
        <v>316</v>
      </c>
      <c r="M3" s="138" t="s">
        <v>312</v>
      </c>
      <c r="N3" s="138" t="s">
        <v>989</v>
      </c>
      <c r="O3" s="138" t="s">
        <v>319</v>
      </c>
      <c r="P3" s="138" t="s">
        <v>222</v>
      </c>
      <c r="Q3" s="138" t="s">
        <v>320</v>
      </c>
      <c r="R3" s="138" t="s">
        <v>990</v>
      </c>
      <c r="S3" s="138" t="s">
        <v>991</v>
      </c>
      <c r="T3" s="138" t="s">
        <v>992</v>
      </c>
      <c r="U3" s="138" t="s">
        <v>993</v>
      </c>
      <c r="V3" s="138" t="s">
        <v>994</v>
      </c>
      <c r="W3" s="138" t="s">
        <v>995</v>
      </c>
      <c r="X3" s="138" t="s">
        <v>793</v>
      </c>
      <c r="Y3" s="138" t="s">
        <v>214</v>
      </c>
      <c r="Z3" s="138" t="s">
        <v>216</v>
      </c>
      <c r="AA3" s="138" t="s">
        <v>217</v>
      </c>
      <c r="AB3" s="138" t="s">
        <v>218</v>
      </c>
      <c r="AC3" s="138" t="s">
        <v>219</v>
      </c>
      <c r="AD3" s="138" t="s">
        <v>220</v>
      </c>
      <c r="AE3" s="138" t="s">
        <v>808</v>
      </c>
      <c r="AF3" s="138" t="s">
        <v>1058</v>
      </c>
      <c r="AG3" s="138" t="s">
        <v>956</v>
      </c>
      <c r="AH3" s="138" t="s">
        <v>957</v>
      </c>
      <c r="AI3" s="138" t="s">
        <v>958</v>
      </c>
      <c r="AJ3" s="138" t="s">
        <v>959</v>
      </c>
      <c r="AK3" s="138" t="s">
        <v>960</v>
      </c>
      <c r="AL3" s="138" t="s">
        <v>809</v>
      </c>
      <c r="AM3" s="258" t="s">
        <v>961</v>
      </c>
      <c r="AN3" s="258" t="s">
        <v>962</v>
      </c>
      <c r="AO3" s="258" t="s">
        <v>963</v>
      </c>
      <c r="AP3" s="258" t="s">
        <v>964</v>
      </c>
      <c r="AQ3" s="258" t="s">
        <v>810</v>
      </c>
      <c r="AR3" s="258" t="s">
        <v>965</v>
      </c>
      <c r="AS3" s="258" t="s">
        <v>966</v>
      </c>
      <c r="AT3" s="258" t="s">
        <v>967</v>
      </c>
      <c r="AU3" s="258" t="s">
        <v>968</v>
      </c>
      <c r="AV3" s="258" t="s">
        <v>884</v>
      </c>
      <c r="AW3" s="258" t="s">
        <v>969</v>
      </c>
      <c r="AX3" s="258" t="s">
        <v>970</v>
      </c>
      <c r="AY3" s="258" t="s">
        <v>971</v>
      </c>
      <c r="AZ3" s="258" t="s">
        <v>972</v>
      </c>
      <c r="BA3" s="258" t="s">
        <v>885</v>
      </c>
      <c r="BB3" s="258" t="s">
        <v>973</v>
      </c>
      <c r="BC3" s="258" t="s">
        <v>974</v>
      </c>
      <c r="BD3" s="258" t="s">
        <v>975</v>
      </c>
      <c r="BE3" s="258" t="s">
        <v>976</v>
      </c>
      <c r="BF3" s="258" t="s">
        <v>1059</v>
      </c>
      <c r="BG3" s="258" t="s">
        <v>977</v>
      </c>
      <c r="BH3" s="258" t="s">
        <v>978</v>
      </c>
      <c r="BI3" s="258" t="s">
        <v>979</v>
      </c>
      <c r="BJ3" s="258" t="s">
        <v>980</v>
      </c>
      <c r="BK3" s="258" t="s">
        <v>1060</v>
      </c>
      <c r="BL3" s="258" t="s">
        <v>981</v>
      </c>
      <c r="BM3" s="258" t="s">
        <v>982</v>
      </c>
      <c r="BN3" s="258" t="s">
        <v>983</v>
      </c>
      <c r="BO3" s="258" t="s">
        <v>984</v>
      </c>
      <c r="BP3" s="258" t="s">
        <v>1061</v>
      </c>
      <c r="BQ3" s="258" t="s">
        <v>985</v>
      </c>
      <c r="BR3" s="258" t="s">
        <v>986</v>
      </c>
      <c r="BS3" s="258" t="s">
        <v>987</v>
      </c>
      <c r="BT3" s="258" t="s">
        <v>988</v>
      </c>
      <c r="BU3" s="138" t="s">
        <v>1062</v>
      </c>
      <c r="BV3" s="305" t="s">
        <v>314</v>
      </c>
      <c r="BW3" s="138" t="s">
        <v>996</v>
      </c>
      <c r="BX3" s="138" t="s">
        <v>1063</v>
      </c>
      <c r="BY3" s="138" t="s">
        <v>997</v>
      </c>
      <c r="BZ3" s="138" t="s">
        <v>315</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44871</v>
      </c>
      <c r="M4" s="62">
        <f>IF(ISERROR(TblImps[[#This Row],[algorithm]]),0,TblImps[[#This Row],[algorithm]]*1)</f>
        <v>0</v>
      </c>
      <c r="N4" s="97">
        <f ca="1">TblImps[[#This Row],[Land]]</f>
        <v>250</v>
      </c>
      <c r="O4" s="308" t="s">
        <v>4</v>
      </c>
      <c r="P4" s="309"/>
      <c r="Q4" s="308" t="s">
        <v>214</v>
      </c>
      <c r="R4" s="308" t="s">
        <v>7</v>
      </c>
      <c r="S4" s="309"/>
      <c r="T4" s="308" t="s">
        <v>214</v>
      </c>
      <c r="U4" s="308" t="s">
        <v>3</v>
      </c>
      <c r="V4" s="309"/>
      <c r="W4" s="308" t="s">
        <v>214</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44871</v>
      </c>
      <c r="BZ4" s="313">
        <f>Overview!B15</f>
        <v>44871</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44871.041666666664</v>
      </c>
      <c r="M5" s="62">
        <f>IF(ISERROR(TblImps[[#This Row],[algorithm]]),0,TblImps[[#This Row],[algorithm]]*1)</f>
        <v>0</v>
      </c>
      <c r="N5" s="97">
        <f ca="1">TblImps[[#This Row],[Land]]</f>
        <v>250</v>
      </c>
      <c r="O5" s="308" t="s">
        <v>4</v>
      </c>
      <c r="P5" s="309"/>
      <c r="Q5" s="308" t="s">
        <v>216</v>
      </c>
      <c r="R5" s="308" t="s">
        <v>7</v>
      </c>
      <c r="S5" s="309"/>
      <c r="T5" s="308" t="s">
        <v>216</v>
      </c>
      <c r="U5" s="308" t="s">
        <v>3</v>
      </c>
      <c r="V5" s="309"/>
      <c r="W5" s="308" t="s">
        <v>216</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44871.041666666664</v>
      </c>
      <c r="BZ5" s="317">
        <f ca="1">OFFSET(TblImps[[#This Row],[Servertime]],-1,0)+1/24</f>
        <v>44871.041666666664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44871.083333333328</v>
      </c>
      <c r="M6" s="62">
        <f>IF(ISERROR(TblImps[[#This Row],[algorithm]]),0,TblImps[[#This Row],[algorithm]]*1)</f>
        <v>0</v>
      </c>
      <c r="N6" s="97">
        <f ca="1">TblImps[[#This Row],[Land]]</f>
        <v>250</v>
      </c>
      <c r="O6" s="308" t="s">
        <v>4</v>
      </c>
      <c r="P6" s="309"/>
      <c r="Q6" s="308" t="s">
        <v>216</v>
      </c>
      <c r="R6" s="308" t="s">
        <v>7</v>
      </c>
      <c r="S6" s="309"/>
      <c r="T6" s="308" t="s">
        <v>216</v>
      </c>
      <c r="U6" s="308" t="s">
        <v>3</v>
      </c>
      <c r="V6" s="309"/>
      <c r="W6" s="308" t="s">
        <v>216</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44871.083333333328</v>
      </c>
      <c r="BZ6" s="317">
        <f ca="1">OFFSET(TblImps[[#This Row],[Servertime]],-1,0)+1/24</f>
        <v>44871.083333333328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44871.124999999993</v>
      </c>
      <c r="M7" s="62">
        <f>IF(ISERROR(TblImps[[#This Row],[algorithm]]),0,TblImps[[#This Row],[algorithm]]*1)</f>
        <v>0</v>
      </c>
      <c r="N7" s="97">
        <f ca="1">TblImps[[#This Row],[Land]]</f>
        <v>250</v>
      </c>
      <c r="O7" s="308" t="s">
        <v>4</v>
      </c>
      <c r="P7" s="309"/>
      <c r="Q7" s="308" t="s">
        <v>216</v>
      </c>
      <c r="R7" s="308" t="s">
        <v>7</v>
      </c>
      <c r="S7" s="309"/>
      <c r="T7" s="308" t="s">
        <v>216</v>
      </c>
      <c r="U7" s="308" t="s">
        <v>3</v>
      </c>
      <c r="V7" s="309"/>
      <c r="W7" s="308" t="s">
        <v>216</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44871.124999999993</v>
      </c>
      <c r="BZ7" s="317">
        <f ca="1">OFFSET(TblImps[[#This Row],[Servertime]],-1,0)+1/24</f>
        <v>44871.124999999993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44871.166666666657</v>
      </c>
      <c r="M8" s="62">
        <f>IF(ISERROR(TblImps[[#This Row],[algorithm]]),0,TblImps[[#This Row],[algorithm]]*1)</f>
        <v>0</v>
      </c>
      <c r="N8" s="97">
        <f ca="1">TblImps[[#This Row],[Land]]</f>
        <v>250</v>
      </c>
      <c r="O8" s="308" t="s">
        <v>4</v>
      </c>
      <c r="P8" s="309"/>
      <c r="Q8" s="308" t="s">
        <v>216</v>
      </c>
      <c r="R8" s="308" t="s">
        <v>7</v>
      </c>
      <c r="S8" s="309"/>
      <c r="T8" s="308" t="s">
        <v>216</v>
      </c>
      <c r="U8" s="308" t="s">
        <v>3</v>
      </c>
      <c r="V8" s="309"/>
      <c r="W8" s="308" t="s">
        <v>216</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44871.166666666657</v>
      </c>
      <c r="BZ8" s="317">
        <f ca="1">OFFSET(TblImps[[#This Row],[Servertime]],-1,0)+1/24</f>
        <v>44871.166666666657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44871.208333333321</v>
      </c>
      <c r="M9" s="62">
        <f>IF(ISERROR(TblImps[[#This Row],[algorithm]]),0,TblImps[[#This Row],[algorithm]]*1)</f>
        <v>0</v>
      </c>
      <c r="N9" s="97">
        <f ca="1">TblImps[[#This Row],[Land]]</f>
        <v>250</v>
      </c>
      <c r="O9" s="308" t="s">
        <v>4</v>
      </c>
      <c r="P9" s="309"/>
      <c r="Q9" s="308" t="s">
        <v>216</v>
      </c>
      <c r="R9" s="308" t="s">
        <v>7</v>
      </c>
      <c r="S9" s="309"/>
      <c r="T9" s="308" t="s">
        <v>216</v>
      </c>
      <c r="U9" s="308" t="s">
        <v>3</v>
      </c>
      <c r="V9" s="309"/>
      <c r="W9" s="308" t="s">
        <v>216</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44871.208333333321</v>
      </c>
      <c r="BZ9" s="317">
        <f ca="1">OFFSET(TblImps[[#This Row],[Servertime]],-1,0)+1/24</f>
        <v>44871.208333333321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44871.249999999985</v>
      </c>
      <c r="M10" s="62">
        <f>IF(ISERROR(TblImps[[#This Row],[algorithm]]),0,TblImps[[#This Row],[algorithm]]*1)</f>
        <v>0</v>
      </c>
      <c r="N10" s="97">
        <f ca="1">TblImps[[#This Row],[Land]]</f>
        <v>250</v>
      </c>
      <c r="O10" s="308" t="s">
        <v>4</v>
      </c>
      <c r="P10" s="309"/>
      <c r="Q10" s="308" t="s">
        <v>216</v>
      </c>
      <c r="R10" s="308" t="s">
        <v>7</v>
      </c>
      <c r="S10" s="309"/>
      <c r="T10" s="308" t="s">
        <v>216</v>
      </c>
      <c r="U10" s="308" t="s">
        <v>3</v>
      </c>
      <c r="V10" s="309"/>
      <c r="W10" s="308" t="s">
        <v>216</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44871.249999999985</v>
      </c>
      <c r="BZ10" s="317">
        <f ca="1">OFFSET(TblImps[[#This Row],[Servertime]],-1,0)+1/24</f>
        <v>44871.249999999985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44871.29166666665</v>
      </c>
      <c r="M11" s="62">
        <f>IF(ISERROR(TblImps[[#This Row],[algorithm]]),0,TblImps[[#This Row],[algorithm]]*1)</f>
        <v>0</v>
      </c>
      <c r="N11" s="97">
        <f ca="1">TblImps[[#This Row],[Land]]</f>
        <v>250</v>
      </c>
      <c r="O11" s="308" t="s">
        <v>4</v>
      </c>
      <c r="P11" s="309"/>
      <c r="Q11" s="308" t="s">
        <v>216</v>
      </c>
      <c r="R11" s="308" t="s">
        <v>7</v>
      </c>
      <c r="S11" s="309"/>
      <c r="T11" s="308" t="s">
        <v>216</v>
      </c>
      <c r="U11" s="308" t="s">
        <v>3</v>
      </c>
      <c r="V11" s="309"/>
      <c r="W11" s="308" t="s">
        <v>216</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44871.29166666665</v>
      </c>
      <c r="BZ11" s="317">
        <f ca="1">OFFSET(TblImps[[#This Row],[Servertime]],-1,0)+1/24</f>
        <v>44871.29166666665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44871.333333333314</v>
      </c>
      <c r="M12" s="62">
        <f>IF(ISERROR(TblImps[[#This Row],[algorithm]]),0,TblImps[[#This Row],[algorithm]]*1)</f>
        <v>0</v>
      </c>
      <c r="N12" s="97">
        <f ca="1">TblImps[[#This Row],[Land]]</f>
        <v>250</v>
      </c>
      <c r="O12" s="308" t="s">
        <v>4</v>
      </c>
      <c r="P12" s="309"/>
      <c r="Q12" s="308" t="s">
        <v>216</v>
      </c>
      <c r="R12" s="308" t="s">
        <v>7</v>
      </c>
      <c r="S12" s="309"/>
      <c r="T12" s="308" t="s">
        <v>216</v>
      </c>
      <c r="U12" s="308" t="s">
        <v>3</v>
      </c>
      <c r="V12" s="309"/>
      <c r="W12" s="308" t="s">
        <v>216</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44871.333333333314</v>
      </c>
      <c r="BZ12" s="317">
        <f ca="1">OFFSET(TblImps[[#This Row],[Servertime]],-1,0)+1/24</f>
        <v>44871.333333333314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44871.374999999978</v>
      </c>
      <c r="M13" s="62">
        <f>IF(ISERROR(TblImps[[#This Row],[algorithm]]),0,TblImps[[#This Row],[algorithm]]*1)</f>
        <v>0</v>
      </c>
      <c r="N13" s="97">
        <f ca="1">TblImps[[#This Row],[Land]]</f>
        <v>250</v>
      </c>
      <c r="O13" s="308" t="s">
        <v>4</v>
      </c>
      <c r="P13" s="309"/>
      <c r="Q13" s="308" t="s">
        <v>216</v>
      </c>
      <c r="R13" s="308" t="s">
        <v>7</v>
      </c>
      <c r="S13" s="309"/>
      <c r="T13" s="308" t="s">
        <v>216</v>
      </c>
      <c r="U13" s="308" t="s">
        <v>3</v>
      </c>
      <c r="V13" s="309"/>
      <c r="W13" s="308" t="s">
        <v>216</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44871.374999999978</v>
      </c>
      <c r="BZ13" s="317">
        <f ca="1">OFFSET(TblImps[[#This Row],[Servertime]],-1,0)+1/24</f>
        <v>44871.374999999978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44871.416666666642</v>
      </c>
      <c r="M14" s="62">
        <f>IF(ISERROR(TblImps[[#This Row],[algorithm]]),0,TblImps[[#This Row],[algorithm]]*1)</f>
        <v>0</v>
      </c>
      <c r="N14" s="97">
        <f ca="1">TblImps[[#This Row],[Land]]</f>
        <v>250</v>
      </c>
      <c r="O14" s="308" t="s">
        <v>4</v>
      </c>
      <c r="P14" s="309"/>
      <c r="Q14" s="308" t="s">
        <v>216</v>
      </c>
      <c r="R14" s="308" t="s">
        <v>7</v>
      </c>
      <c r="S14" s="309"/>
      <c r="T14" s="308" t="s">
        <v>216</v>
      </c>
      <c r="U14" s="308" t="s">
        <v>3</v>
      </c>
      <c r="V14" s="309"/>
      <c r="W14" s="308" t="s">
        <v>216</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44871.416666666642</v>
      </c>
      <c r="BZ14" s="317">
        <f ca="1">OFFSET(TblImps[[#This Row],[Servertime]],-1,0)+1/24</f>
        <v>44871.416666666642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44871.458333333307</v>
      </c>
      <c r="M15" s="62">
        <f>IF(ISERROR(TblImps[[#This Row],[algorithm]]),0,TblImps[[#This Row],[algorithm]]*1)</f>
        <v>0</v>
      </c>
      <c r="N15" s="97">
        <f ca="1">TblImps[[#This Row],[Land]]</f>
        <v>250</v>
      </c>
      <c r="O15" s="308" t="s">
        <v>4</v>
      </c>
      <c r="P15" s="309"/>
      <c r="Q15" s="308" t="s">
        <v>216</v>
      </c>
      <c r="R15" s="308" t="s">
        <v>7</v>
      </c>
      <c r="S15" s="309"/>
      <c r="T15" s="308" t="s">
        <v>216</v>
      </c>
      <c r="U15" s="308" t="s">
        <v>3</v>
      </c>
      <c r="V15" s="309"/>
      <c r="W15" s="308" t="s">
        <v>216</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44871.458333333307</v>
      </c>
      <c r="BZ15" s="317">
        <f ca="1">OFFSET(TblImps[[#This Row],[Servertime]],-1,0)+1/24</f>
        <v>44871.458333333307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44871.499999999971</v>
      </c>
      <c r="M16" s="62">
        <f>IF(ISERROR(TblImps[[#This Row],[algorithm]]),0,TblImps[[#This Row],[algorithm]]*1)</f>
        <v>0</v>
      </c>
      <c r="N16" s="97">
        <f ca="1">TblImps[[#This Row],[Land]]</f>
        <v>250</v>
      </c>
      <c r="O16" s="308" t="s">
        <v>4</v>
      </c>
      <c r="P16" s="309"/>
      <c r="Q16" s="308" t="s">
        <v>216</v>
      </c>
      <c r="R16" s="308" t="s">
        <v>7</v>
      </c>
      <c r="S16" s="309"/>
      <c r="T16" s="308" t="s">
        <v>216</v>
      </c>
      <c r="U16" s="308" t="s">
        <v>3</v>
      </c>
      <c r="V16" s="309"/>
      <c r="W16" s="308" t="s">
        <v>216</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44871.499999999971</v>
      </c>
      <c r="BZ16" s="317">
        <f ca="1">OFFSET(TblImps[[#This Row],[Servertime]],-1,0)+1/24</f>
        <v>44871.499999999971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44871.541666666635</v>
      </c>
      <c r="M17" s="62">
        <f>IF(ISERROR(TblImps[[#This Row],[algorithm]]),0,TblImps[[#This Row],[algorithm]]*1)</f>
        <v>0</v>
      </c>
      <c r="N17" s="97">
        <f ca="1">TblImps[[#This Row],[Land]]</f>
        <v>250</v>
      </c>
      <c r="O17" s="308" t="s">
        <v>4</v>
      </c>
      <c r="P17" s="309"/>
      <c r="Q17" s="308" t="s">
        <v>216</v>
      </c>
      <c r="R17" s="308" t="s">
        <v>7</v>
      </c>
      <c r="S17" s="309"/>
      <c r="T17" s="308" t="s">
        <v>216</v>
      </c>
      <c r="U17" s="308" t="s">
        <v>3</v>
      </c>
      <c r="V17" s="309"/>
      <c r="W17" s="308" t="s">
        <v>216</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44871.541666666635</v>
      </c>
      <c r="BZ17" s="317">
        <f ca="1">OFFSET(TblImps[[#This Row],[Servertime]],-1,0)+1/24</f>
        <v>44871.541666666635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44871.583333333299</v>
      </c>
      <c r="M18" s="62">
        <f>IF(ISERROR(TblImps[[#This Row],[algorithm]]),0,TblImps[[#This Row],[algorithm]]*1)</f>
        <v>0</v>
      </c>
      <c r="N18" s="97">
        <f ca="1">TblImps[[#This Row],[Land]]</f>
        <v>250</v>
      </c>
      <c r="O18" s="308" t="s">
        <v>4</v>
      </c>
      <c r="P18" s="309"/>
      <c r="Q18" s="308" t="s">
        <v>216</v>
      </c>
      <c r="R18" s="308" t="s">
        <v>7</v>
      </c>
      <c r="S18" s="309"/>
      <c r="T18" s="308" t="s">
        <v>216</v>
      </c>
      <c r="U18" s="308" t="s">
        <v>3</v>
      </c>
      <c r="V18" s="309"/>
      <c r="W18" s="308" t="s">
        <v>216</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44871.583333333299</v>
      </c>
      <c r="BZ18" s="317">
        <f ca="1">OFFSET(TblImps[[#This Row],[Servertime]],-1,0)+1/24</f>
        <v>44871.583333333299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44871.624999999964</v>
      </c>
      <c r="M19" s="62">
        <f>IF(ISERROR(TblImps[[#This Row],[algorithm]]),0,TblImps[[#This Row],[algorithm]]*1)</f>
        <v>0</v>
      </c>
      <c r="N19" s="97">
        <f ca="1">TblImps[[#This Row],[Land]]</f>
        <v>250</v>
      </c>
      <c r="O19" s="308" t="s">
        <v>4</v>
      </c>
      <c r="P19" s="309"/>
      <c r="Q19" s="308" t="s">
        <v>216</v>
      </c>
      <c r="R19" s="308" t="s">
        <v>7</v>
      </c>
      <c r="S19" s="309"/>
      <c r="T19" s="308" t="s">
        <v>216</v>
      </c>
      <c r="U19" s="308" t="s">
        <v>3</v>
      </c>
      <c r="V19" s="309"/>
      <c r="W19" s="308" t="s">
        <v>216</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44871.624999999964</v>
      </c>
      <c r="BZ19" s="317">
        <f ca="1">OFFSET(TblImps[[#This Row],[Servertime]],-1,0)+1/24</f>
        <v>44871.624999999964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44871.666666666628</v>
      </c>
      <c r="M20" s="62">
        <f>IF(ISERROR(TblImps[[#This Row],[algorithm]]),0,TblImps[[#This Row],[algorithm]]*1)</f>
        <v>0</v>
      </c>
      <c r="N20" s="97">
        <f ca="1">TblImps[[#This Row],[Land]]</f>
        <v>250</v>
      </c>
      <c r="O20" s="308" t="s">
        <v>4</v>
      </c>
      <c r="P20" s="309"/>
      <c r="Q20" s="308" t="s">
        <v>216</v>
      </c>
      <c r="R20" s="308" t="s">
        <v>7</v>
      </c>
      <c r="S20" s="309"/>
      <c r="T20" s="308" t="s">
        <v>216</v>
      </c>
      <c r="U20" s="308" t="s">
        <v>3</v>
      </c>
      <c r="V20" s="309"/>
      <c r="W20" s="308" t="s">
        <v>216</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44871.666666666628</v>
      </c>
      <c r="BZ20" s="317">
        <f ca="1">OFFSET(TblImps[[#This Row],[Servertime]],-1,0)+1/24</f>
        <v>44871.666666666628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44871.708333333292</v>
      </c>
      <c r="M21" s="62">
        <f>IF(ISERROR(TblImps[[#This Row],[algorithm]]),0,TblImps[[#This Row],[algorithm]]*1)</f>
        <v>0</v>
      </c>
      <c r="N21" s="97">
        <f ca="1">TblImps[[#This Row],[Land]]</f>
        <v>250</v>
      </c>
      <c r="O21" s="308" t="s">
        <v>4</v>
      </c>
      <c r="P21" s="309"/>
      <c r="Q21" s="308" t="s">
        <v>216</v>
      </c>
      <c r="R21" s="308" t="s">
        <v>7</v>
      </c>
      <c r="S21" s="309"/>
      <c r="T21" s="308" t="s">
        <v>216</v>
      </c>
      <c r="U21" s="308" t="s">
        <v>3</v>
      </c>
      <c r="V21" s="309"/>
      <c r="W21" s="308" t="s">
        <v>216</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44871.708333333292</v>
      </c>
      <c r="BZ21" s="317">
        <f ca="1">OFFSET(TblImps[[#This Row],[Servertime]],-1,0)+1/24</f>
        <v>44871.708333333292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44871.749999999956</v>
      </c>
      <c r="M22" s="62">
        <f>IF(ISERROR(TblImps[[#This Row],[algorithm]]),0,TblImps[[#This Row],[algorithm]]*1)</f>
        <v>0</v>
      </c>
      <c r="N22" s="97">
        <f ca="1">TblImps[[#This Row],[Land]]</f>
        <v>250</v>
      </c>
      <c r="O22" s="308" t="s">
        <v>4</v>
      </c>
      <c r="P22" s="309"/>
      <c r="Q22" s="308" t="s">
        <v>216</v>
      </c>
      <c r="R22" s="308" t="s">
        <v>7</v>
      </c>
      <c r="S22" s="309"/>
      <c r="T22" s="308" t="s">
        <v>216</v>
      </c>
      <c r="U22" s="308" t="s">
        <v>3</v>
      </c>
      <c r="V22" s="309"/>
      <c r="W22" s="308" t="s">
        <v>216</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44871.749999999956</v>
      </c>
      <c r="BZ22" s="317">
        <f ca="1">OFFSET(TblImps[[#This Row],[Servertime]],-1,0)+1/24</f>
        <v>44871.749999999956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44871.791666666621</v>
      </c>
      <c r="M23" s="62">
        <f>IF(ISERROR(TblImps[[#This Row],[algorithm]]),0,TblImps[[#This Row],[algorithm]]*1)</f>
        <v>0</v>
      </c>
      <c r="N23" s="97">
        <f ca="1">TblImps[[#This Row],[Land]]</f>
        <v>250</v>
      </c>
      <c r="O23" s="308" t="s">
        <v>4</v>
      </c>
      <c r="P23" s="309"/>
      <c r="Q23" s="308" t="s">
        <v>216</v>
      </c>
      <c r="R23" s="308" t="s">
        <v>7</v>
      </c>
      <c r="S23" s="309"/>
      <c r="T23" s="308" t="s">
        <v>216</v>
      </c>
      <c r="U23" s="308" t="s">
        <v>3</v>
      </c>
      <c r="V23" s="309"/>
      <c r="W23" s="308" t="s">
        <v>216</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44871.791666666621</v>
      </c>
      <c r="BZ23" s="317">
        <f ca="1">OFFSET(TblImps[[#This Row],[Servertime]],-1,0)+1/24</f>
        <v>44871.791666666621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44871.833333333285</v>
      </c>
      <c r="M24" s="62">
        <f>IF(ISERROR(TblImps[[#This Row],[algorithm]]),0,TblImps[[#This Row],[algorithm]]*1)</f>
        <v>0</v>
      </c>
      <c r="N24" s="97">
        <f ca="1">TblImps[[#This Row],[Land]]</f>
        <v>250</v>
      </c>
      <c r="O24" s="308" t="s">
        <v>4</v>
      </c>
      <c r="P24" s="309"/>
      <c r="Q24" s="308" t="s">
        <v>216</v>
      </c>
      <c r="R24" s="308" t="s">
        <v>7</v>
      </c>
      <c r="S24" s="309"/>
      <c r="T24" s="308" t="s">
        <v>216</v>
      </c>
      <c r="U24" s="308" t="s">
        <v>3</v>
      </c>
      <c r="V24" s="309"/>
      <c r="W24" s="308" t="s">
        <v>216</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44871.833333333285</v>
      </c>
      <c r="BZ24" s="317">
        <f ca="1">OFFSET(TblImps[[#This Row],[Servertime]],-1,0)+1/24</f>
        <v>44871.833333333285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44871.874999999949</v>
      </c>
      <c r="M25" s="62">
        <f>IF(ISERROR(TblImps[[#This Row],[algorithm]]),0,TblImps[[#This Row],[algorithm]]*1)</f>
        <v>0</v>
      </c>
      <c r="N25" s="97">
        <f ca="1">TblImps[[#This Row],[Land]]</f>
        <v>250</v>
      </c>
      <c r="O25" s="308" t="s">
        <v>4</v>
      </c>
      <c r="P25" s="309"/>
      <c r="Q25" s="308" t="s">
        <v>216</v>
      </c>
      <c r="R25" s="308" t="s">
        <v>7</v>
      </c>
      <c r="S25" s="309"/>
      <c r="T25" s="308" t="s">
        <v>216</v>
      </c>
      <c r="U25" s="308" t="s">
        <v>3</v>
      </c>
      <c r="V25" s="309"/>
      <c r="W25" s="308" t="s">
        <v>216</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44871.874999999949</v>
      </c>
      <c r="BZ25" s="317">
        <f ca="1">OFFSET(TblImps[[#This Row],[Servertime]],-1,0)+1/24</f>
        <v>44871.874999999949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44871.916666666613</v>
      </c>
      <c r="M26" s="62">
        <f>IF(ISERROR(TblImps[[#This Row],[algorithm]]),0,TblImps[[#This Row],[algorithm]]*1)</f>
        <v>0</v>
      </c>
      <c r="N26" s="97">
        <f ca="1">TblImps[[#This Row],[Land]]</f>
        <v>250</v>
      </c>
      <c r="O26" s="308" t="s">
        <v>4</v>
      </c>
      <c r="P26" s="309"/>
      <c r="Q26" s="308" t="s">
        <v>216</v>
      </c>
      <c r="R26" s="308" t="s">
        <v>7</v>
      </c>
      <c r="S26" s="309"/>
      <c r="T26" s="308" t="s">
        <v>216</v>
      </c>
      <c r="U26" s="308" t="s">
        <v>3</v>
      </c>
      <c r="V26" s="309"/>
      <c r="W26" s="308" t="s">
        <v>216</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44871.916666666613</v>
      </c>
      <c r="BZ26" s="317">
        <f ca="1">OFFSET(TblImps[[#This Row],[Servertime]],-1,0)+1/24</f>
        <v>44871.916666666613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44871.958333333278</v>
      </c>
      <c r="M27" s="62">
        <f>IF(ISERROR(TblImps[[#This Row],[algorithm]]),0,TblImps[[#This Row],[algorithm]]*1)</f>
        <v>0</v>
      </c>
      <c r="N27" s="97">
        <f ca="1">TblImps[[#This Row],[Land]]</f>
        <v>250</v>
      </c>
      <c r="O27" s="308" t="s">
        <v>4</v>
      </c>
      <c r="P27" s="309"/>
      <c r="Q27" s="308" t="s">
        <v>216</v>
      </c>
      <c r="R27" s="308" t="s">
        <v>7</v>
      </c>
      <c r="S27" s="309"/>
      <c r="T27" s="308" t="s">
        <v>216</v>
      </c>
      <c r="U27" s="308" t="s">
        <v>3</v>
      </c>
      <c r="V27" s="309"/>
      <c r="W27" s="308" t="s">
        <v>216</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44871.958333333278</v>
      </c>
      <c r="BZ27" s="317">
        <f ca="1">OFFSET(TblImps[[#This Row],[Servertime]],-1,0)+1/24</f>
        <v>44871.958333333278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44871.999999999942</v>
      </c>
      <c r="M28" s="62">
        <f>IF(ISERROR(TblImps[[#This Row],[algorithm]]),0,TblImps[[#This Row],[algorithm]]*1)</f>
        <v>0</v>
      </c>
      <c r="N28" s="97">
        <f ca="1">TblImps[[#This Row],[Land]]</f>
        <v>250</v>
      </c>
      <c r="O28" s="308" t="s">
        <v>4</v>
      </c>
      <c r="P28" s="309"/>
      <c r="Q28" s="308" t="s">
        <v>216</v>
      </c>
      <c r="R28" s="308" t="s">
        <v>7</v>
      </c>
      <c r="S28" s="309"/>
      <c r="T28" s="308" t="s">
        <v>216</v>
      </c>
      <c r="U28" s="308" t="s">
        <v>3</v>
      </c>
      <c r="V28" s="309"/>
      <c r="W28" s="308" t="s">
        <v>216</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44871.999999999942</v>
      </c>
      <c r="BZ28" s="317">
        <f ca="1">OFFSET(TblImps[[#This Row],[Servertime]],-1,0)+1/24</f>
        <v>44871.999999999942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44872.041666666606</v>
      </c>
      <c r="M29" s="62">
        <f>IF(ISERROR(TblImps[[#This Row],[algorithm]]),0,TblImps[[#This Row],[algorithm]]*1)</f>
        <v>0</v>
      </c>
      <c r="N29" s="97">
        <f ca="1">TblImps[[#This Row],[Land]]</f>
        <v>250</v>
      </c>
      <c r="O29" s="308" t="s">
        <v>4</v>
      </c>
      <c r="P29" s="309"/>
      <c r="Q29" s="308" t="s">
        <v>216</v>
      </c>
      <c r="R29" s="308" t="s">
        <v>7</v>
      </c>
      <c r="S29" s="309"/>
      <c r="T29" s="308" t="s">
        <v>216</v>
      </c>
      <c r="U29" s="308" t="s">
        <v>3</v>
      </c>
      <c r="V29" s="309"/>
      <c r="W29" s="308" t="s">
        <v>216</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44872.041666666606</v>
      </c>
      <c r="BZ29" s="317">
        <f ca="1">OFFSET(TblImps[[#This Row],[Servertime]],-1,0)+1/24</f>
        <v>44872.041666666606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44872.08333333327</v>
      </c>
      <c r="M30" s="62">
        <f>IF(ISERROR(TblImps[[#This Row],[algorithm]]),0,TblImps[[#This Row],[algorithm]]*1)</f>
        <v>0</v>
      </c>
      <c r="N30" s="97">
        <f ca="1">TblImps[[#This Row],[Land]]</f>
        <v>250</v>
      </c>
      <c r="O30" s="308" t="s">
        <v>4</v>
      </c>
      <c r="P30" s="309"/>
      <c r="Q30" s="308" t="s">
        <v>216</v>
      </c>
      <c r="R30" s="308" t="s">
        <v>7</v>
      </c>
      <c r="S30" s="309"/>
      <c r="T30" s="308" t="s">
        <v>216</v>
      </c>
      <c r="U30" s="308" t="s">
        <v>3</v>
      </c>
      <c r="V30" s="309"/>
      <c r="W30" s="308" t="s">
        <v>216</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44872.08333333327</v>
      </c>
      <c r="BZ30" s="317">
        <f ca="1">OFFSET(TblImps[[#This Row],[Servertime]],-1,0)+1/24</f>
        <v>44872.08333333327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44872.124999999935</v>
      </c>
      <c r="M31" s="62">
        <f>IF(ISERROR(TblImps[[#This Row],[algorithm]]),0,TblImps[[#This Row],[algorithm]]*1)</f>
        <v>0</v>
      </c>
      <c r="N31" s="97">
        <f ca="1">TblImps[[#This Row],[Land]]</f>
        <v>250</v>
      </c>
      <c r="O31" s="308" t="s">
        <v>4</v>
      </c>
      <c r="P31" s="309"/>
      <c r="Q31" s="308" t="s">
        <v>216</v>
      </c>
      <c r="R31" s="308" t="s">
        <v>7</v>
      </c>
      <c r="S31" s="309"/>
      <c r="T31" s="308" t="s">
        <v>216</v>
      </c>
      <c r="U31" s="308" t="s">
        <v>3</v>
      </c>
      <c r="V31" s="309"/>
      <c r="W31" s="308" t="s">
        <v>216</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44872.124999999935</v>
      </c>
      <c r="BZ31" s="317">
        <f ca="1">OFFSET(TblImps[[#This Row],[Servertime]],-1,0)+1/24</f>
        <v>44872.124999999935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44872.166666666599</v>
      </c>
      <c r="M32" s="62">
        <f>IF(ISERROR(TblImps[[#This Row],[algorithm]]),0,TblImps[[#This Row],[algorithm]]*1)</f>
        <v>0</v>
      </c>
      <c r="N32" s="97">
        <f ca="1">TblImps[[#This Row],[Land]]</f>
        <v>250</v>
      </c>
      <c r="O32" s="308" t="s">
        <v>4</v>
      </c>
      <c r="P32" s="309"/>
      <c r="Q32" s="308" t="s">
        <v>216</v>
      </c>
      <c r="R32" s="308" t="s">
        <v>7</v>
      </c>
      <c r="S32" s="309"/>
      <c r="T32" s="308" t="s">
        <v>216</v>
      </c>
      <c r="U32" s="308" t="s">
        <v>3</v>
      </c>
      <c r="V32" s="309"/>
      <c r="W32" s="308" t="s">
        <v>216</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44872.166666666599</v>
      </c>
      <c r="BZ32" s="317">
        <f ca="1">OFFSET(TblImps[[#This Row],[Servertime]],-1,0)+1/24</f>
        <v>44872.166666666599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44872.208333333263</v>
      </c>
      <c r="M33" s="62">
        <f>IF(ISERROR(TblImps[[#This Row],[algorithm]]),0,TblImps[[#This Row],[algorithm]]*1)</f>
        <v>0</v>
      </c>
      <c r="N33" s="97">
        <f ca="1">TblImps[[#This Row],[Land]]</f>
        <v>250</v>
      </c>
      <c r="O33" s="308" t="s">
        <v>4</v>
      </c>
      <c r="P33" s="309"/>
      <c r="Q33" s="308" t="s">
        <v>216</v>
      </c>
      <c r="R33" s="308" t="s">
        <v>7</v>
      </c>
      <c r="S33" s="309"/>
      <c r="T33" s="308" t="s">
        <v>216</v>
      </c>
      <c r="U33" s="308" t="s">
        <v>3</v>
      </c>
      <c r="V33" s="309"/>
      <c r="W33" s="308" t="s">
        <v>216</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44872.208333333263</v>
      </c>
      <c r="BZ33" s="317">
        <f ca="1">OFFSET(TblImps[[#This Row],[Servertime]],-1,0)+1/24</f>
        <v>44872.208333333263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44872.249999999927</v>
      </c>
      <c r="M34" s="62">
        <f>IF(ISERROR(TblImps[[#This Row],[algorithm]]),0,TblImps[[#This Row],[algorithm]]*1)</f>
        <v>0</v>
      </c>
      <c r="N34" s="97">
        <f ca="1">TblImps[[#This Row],[Land]]</f>
        <v>250</v>
      </c>
      <c r="O34" s="308" t="s">
        <v>4</v>
      </c>
      <c r="P34" s="309"/>
      <c r="Q34" s="308" t="s">
        <v>216</v>
      </c>
      <c r="R34" s="308" t="s">
        <v>7</v>
      </c>
      <c r="S34" s="309"/>
      <c r="T34" s="308" t="s">
        <v>216</v>
      </c>
      <c r="U34" s="308" t="s">
        <v>3</v>
      </c>
      <c r="V34" s="309"/>
      <c r="W34" s="308" t="s">
        <v>216</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44872.249999999927</v>
      </c>
      <c r="BZ34" s="317">
        <f ca="1">OFFSET(TblImps[[#This Row],[Servertime]],-1,0)+1/24</f>
        <v>44872.249999999927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44872.291666666591</v>
      </c>
      <c r="M35" s="62">
        <f>IF(ISERROR(TblImps[[#This Row],[algorithm]]),0,TblImps[[#This Row],[algorithm]]*1)</f>
        <v>0</v>
      </c>
      <c r="N35" s="97">
        <f ca="1">TblImps[[#This Row],[Land]]</f>
        <v>250</v>
      </c>
      <c r="O35" s="308" t="s">
        <v>4</v>
      </c>
      <c r="P35" s="309"/>
      <c r="Q35" s="308" t="s">
        <v>216</v>
      </c>
      <c r="R35" s="308" t="s">
        <v>7</v>
      </c>
      <c r="S35" s="309"/>
      <c r="T35" s="308" t="s">
        <v>216</v>
      </c>
      <c r="U35" s="308" t="s">
        <v>3</v>
      </c>
      <c r="V35" s="309"/>
      <c r="W35" s="308" t="s">
        <v>216</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44872.291666666591</v>
      </c>
      <c r="BZ35" s="317">
        <f ca="1">OFFSET(TblImps[[#This Row],[Servertime]],-1,0)+1/24</f>
        <v>44872.291666666591</v>
      </c>
      <c r="CA35" s="57"/>
      <c r="CB35" s="315"/>
      <c r="CC35" s="315"/>
      <c r="CD35" s="45" t="s">
        <v>214</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44872.333333333256</v>
      </c>
      <c r="M36" s="62">
        <f>IF(ISERROR(TblImps[[#This Row],[algorithm]]),0,TblImps[[#This Row],[algorithm]]*1)</f>
        <v>0</v>
      </c>
      <c r="N36" s="97">
        <f ca="1">TblImps[[#This Row],[Land]]</f>
        <v>250</v>
      </c>
      <c r="O36" s="308" t="s">
        <v>4</v>
      </c>
      <c r="P36" s="309"/>
      <c r="Q36" s="308" t="s">
        <v>216</v>
      </c>
      <c r="R36" s="308" t="s">
        <v>7</v>
      </c>
      <c r="S36" s="309"/>
      <c r="T36" s="308" t="s">
        <v>216</v>
      </c>
      <c r="U36" s="308" t="s">
        <v>3</v>
      </c>
      <c r="V36" s="309"/>
      <c r="W36" s="308" t="s">
        <v>216</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44872.333333333256</v>
      </c>
      <c r="BZ36" s="317">
        <f ca="1">OFFSET(TblImps[[#This Row],[Servertime]],-1,0)+1/24</f>
        <v>44872.333333333256</v>
      </c>
      <c r="CA36" s="57"/>
      <c r="CB36" s="315"/>
      <c r="CC36" s="315"/>
      <c r="CD36" s="45" t="s">
        <v>216</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44872.37499999992</v>
      </c>
      <c r="M37" s="62">
        <f>IF(ISERROR(TblImps[[#This Row],[algorithm]]),0,TblImps[[#This Row],[algorithm]]*1)</f>
        <v>0</v>
      </c>
      <c r="N37" s="97">
        <f ca="1">TblImps[[#This Row],[Land]]</f>
        <v>250</v>
      </c>
      <c r="O37" s="308" t="s">
        <v>4</v>
      </c>
      <c r="P37" s="309"/>
      <c r="Q37" s="308" t="s">
        <v>216</v>
      </c>
      <c r="R37" s="308" t="s">
        <v>7</v>
      </c>
      <c r="S37" s="309"/>
      <c r="T37" s="308" t="s">
        <v>216</v>
      </c>
      <c r="U37" s="308" t="s">
        <v>3</v>
      </c>
      <c r="V37" s="309"/>
      <c r="W37" s="308" t="s">
        <v>216</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44872.37499999992</v>
      </c>
      <c r="BZ37" s="317">
        <f ca="1">OFFSET(TblImps[[#This Row],[Servertime]],-1,0)+1/24</f>
        <v>44872.37499999992</v>
      </c>
      <c r="CA37" s="57"/>
      <c r="CB37" s="315"/>
      <c r="CC37" s="315"/>
      <c r="CD37" s="45" t="s">
        <v>217</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44872.416666666584</v>
      </c>
      <c r="M38" s="62">
        <f>IF(ISERROR(TblImps[[#This Row],[algorithm]]),0,TblImps[[#This Row],[algorithm]]*1)</f>
        <v>0</v>
      </c>
      <c r="N38" s="97">
        <f ca="1">TblImps[[#This Row],[Land]]</f>
        <v>250</v>
      </c>
      <c r="O38" s="308" t="s">
        <v>4</v>
      </c>
      <c r="P38" s="309"/>
      <c r="Q38" s="308" t="s">
        <v>216</v>
      </c>
      <c r="R38" s="308" t="s">
        <v>7</v>
      </c>
      <c r="S38" s="309"/>
      <c r="T38" s="308" t="s">
        <v>216</v>
      </c>
      <c r="U38" s="308" t="s">
        <v>3</v>
      </c>
      <c r="V38" s="309"/>
      <c r="W38" s="308" t="s">
        <v>216</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44872.416666666584</v>
      </c>
      <c r="BZ38" s="317">
        <f ca="1">OFFSET(TblImps[[#This Row],[Servertime]],-1,0)+1/24</f>
        <v>44872.416666666584</v>
      </c>
      <c r="CA38" s="57"/>
      <c r="CB38" s="315"/>
      <c r="CC38" s="315"/>
      <c r="CD38" s="45" t="s">
        <v>218</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44872.458333333248</v>
      </c>
      <c r="M39" s="62">
        <f>IF(ISERROR(TblImps[[#This Row],[algorithm]]),0,TblImps[[#This Row],[algorithm]]*1)</f>
        <v>0</v>
      </c>
      <c r="N39" s="97">
        <f ca="1">TblImps[[#This Row],[Land]]</f>
        <v>250</v>
      </c>
      <c r="O39" s="308" t="s">
        <v>4</v>
      </c>
      <c r="P39" s="309"/>
      <c r="Q39" s="308" t="s">
        <v>216</v>
      </c>
      <c r="R39" s="308" t="s">
        <v>7</v>
      </c>
      <c r="S39" s="309"/>
      <c r="T39" s="308" t="s">
        <v>216</v>
      </c>
      <c r="U39" s="308" t="s">
        <v>3</v>
      </c>
      <c r="V39" s="309"/>
      <c r="W39" s="308" t="s">
        <v>216</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44872.458333333248</v>
      </c>
      <c r="BZ39" s="317">
        <f ca="1">OFFSET(TblImps[[#This Row],[Servertime]],-1,0)+1/24</f>
        <v>44872.458333333248</v>
      </c>
      <c r="CA39" s="57"/>
      <c r="CB39" s="315"/>
      <c r="CC39" s="315"/>
      <c r="CD39" s="45" t="s">
        <v>219</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44872.499999999913</v>
      </c>
      <c r="M40" s="62">
        <f>IF(ISERROR(TblImps[[#This Row],[algorithm]]),0,TblImps[[#This Row],[algorithm]]*1)</f>
        <v>0</v>
      </c>
      <c r="N40" s="97">
        <f ca="1">TblImps[[#This Row],[Land]]</f>
        <v>250</v>
      </c>
      <c r="O40" s="308" t="s">
        <v>4</v>
      </c>
      <c r="P40" s="309"/>
      <c r="Q40" s="308" t="s">
        <v>216</v>
      </c>
      <c r="R40" s="308" t="s">
        <v>7</v>
      </c>
      <c r="S40" s="309"/>
      <c r="T40" s="308" t="s">
        <v>216</v>
      </c>
      <c r="U40" s="308" t="s">
        <v>3</v>
      </c>
      <c r="V40" s="309"/>
      <c r="W40" s="308" t="s">
        <v>216</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44872.499999999913</v>
      </c>
      <c r="BZ40" s="317">
        <f ca="1">OFFSET(TblImps[[#This Row],[Servertime]],-1,0)+1/24</f>
        <v>44872.499999999913</v>
      </c>
      <c r="CA40" s="57"/>
      <c r="CB40" s="315"/>
      <c r="CC40" s="315"/>
      <c r="CD40" s="45" t="s">
        <v>220</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44872.541666666577</v>
      </c>
      <c r="M41" s="62">
        <f>IF(ISERROR(TblImps[[#This Row],[algorithm]]),0,TblImps[[#This Row],[algorithm]]*1)</f>
        <v>0</v>
      </c>
      <c r="N41" s="97">
        <f ca="1">TblImps[[#This Row],[Land]]</f>
        <v>250</v>
      </c>
      <c r="O41" s="308" t="s">
        <v>4</v>
      </c>
      <c r="P41" s="309"/>
      <c r="Q41" s="308" t="s">
        <v>216</v>
      </c>
      <c r="R41" s="308" t="s">
        <v>7</v>
      </c>
      <c r="S41" s="309"/>
      <c r="T41" s="308" t="s">
        <v>216</v>
      </c>
      <c r="U41" s="308" t="s">
        <v>3</v>
      </c>
      <c r="V41" s="309"/>
      <c r="W41" s="308" t="s">
        <v>216</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44872.541666666577</v>
      </c>
      <c r="BZ41" s="317">
        <f ca="1">OFFSET(TblImps[[#This Row],[Servertime]],-1,0)+1/24</f>
        <v>44872.541666666577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44872.583333333241</v>
      </c>
      <c r="M42" s="62">
        <f>IF(ISERROR(TblImps[[#This Row],[algorithm]]),0,TblImps[[#This Row],[algorithm]]*1)</f>
        <v>0</v>
      </c>
      <c r="N42" s="97">
        <f ca="1">TblImps[[#This Row],[Land]]</f>
        <v>250</v>
      </c>
      <c r="O42" s="308" t="s">
        <v>4</v>
      </c>
      <c r="P42" s="309"/>
      <c r="Q42" s="308" t="s">
        <v>216</v>
      </c>
      <c r="R42" s="308" t="s">
        <v>7</v>
      </c>
      <c r="S42" s="309"/>
      <c r="T42" s="308" t="s">
        <v>216</v>
      </c>
      <c r="U42" s="308" t="s">
        <v>3</v>
      </c>
      <c r="V42" s="309"/>
      <c r="W42" s="308" t="s">
        <v>216</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44872.583333333241</v>
      </c>
      <c r="BZ42" s="317">
        <f ca="1">OFFSET(TblImps[[#This Row],[Servertime]],-1,0)+1/24</f>
        <v>44872.583333333241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44872.624999999905</v>
      </c>
      <c r="M43" s="62">
        <f>IF(ISERROR(TblImps[[#This Row],[algorithm]]),0,TblImps[[#This Row],[algorithm]]*1)</f>
        <v>0</v>
      </c>
      <c r="N43" s="97">
        <f ca="1">TblImps[[#This Row],[Land]]</f>
        <v>250</v>
      </c>
      <c r="O43" s="308" t="s">
        <v>4</v>
      </c>
      <c r="P43" s="309"/>
      <c r="Q43" s="308" t="s">
        <v>216</v>
      </c>
      <c r="R43" s="308" t="s">
        <v>7</v>
      </c>
      <c r="S43" s="309"/>
      <c r="T43" s="308" t="s">
        <v>216</v>
      </c>
      <c r="U43" s="308" t="s">
        <v>3</v>
      </c>
      <c r="V43" s="309"/>
      <c r="W43" s="308" t="s">
        <v>216</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44872.624999999905</v>
      </c>
      <c r="BZ43" s="317">
        <f ca="1">OFFSET(TblImps[[#This Row],[Servertime]],-1,0)+1/24</f>
        <v>44872.624999999905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44872.66666666657</v>
      </c>
      <c r="M44" s="62">
        <f>IF(ISERROR(TblImps[[#This Row],[algorithm]]),0,TblImps[[#This Row],[algorithm]]*1)</f>
        <v>0</v>
      </c>
      <c r="N44" s="97">
        <f ca="1">TblImps[[#This Row],[Land]]</f>
        <v>250</v>
      </c>
      <c r="O44" s="308" t="s">
        <v>4</v>
      </c>
      <c r="P44" s="309"/>
      <c r="Q44" s="308" t="s">
        <v>216</v>
      </c>
      <c r="R44" s="308" t="s">
        <v>7</v>
      </c>
      <c r="S44" s="309"/>
      <c r="T44" s="308" t="s">
        <v>216</v>
      </c>
      <c r="U44" s="308" t="s">
        <v>3</v>
      </c>
      <c r="V44" s="309"/>
      <c r="W44" s="308" t="s">
        <v>216</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44872.66666666657</v>
      </c>
      <c r="BZ44" s="317">
        <f ca="1">OFFSET(TblImps[[#This Row],[Servertime]],-1,0)+1/24</f>
        <v>44872.66666666657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44872.708333333234</v>
      </c>
      <c r="M45" s="62">
        <f>IF(ISERROR(TblImps[[#This Row],[algorithm]]),0,TblImps[[#This Row],[algorithm]]*1)</f>
        <v>0</v>
      </c>
      <c r="N45" s="97">
        <f ca="1">TblImps[[#This Row],[Land]]</f>
        <v>250</v>
      </c>
      <c r="O45" s="308" t="s">
        <v>4</v>
      </c>
      <c r="P45" s="309"/>
      <c r="Q45" s="308" t="s">
        <v>216</v>
      </c>
      <c r="R45" s="308" t="s">
        <v>7</v>
      </c>
      <c r="S45" s="309"/>
      <c r="T45" s="308" t="s">
        <v>216</v>
      </c>
      <c r="U45" s="308" t="s">
        <v>3</v>
      </c>
      <c r="V45" s="309"/>
      <c r="W45" s="308" t="s">
        <v>216</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44872.708333333234</v>
      </c>
      <c r="BZ45" s="317">
        <f ca="1">OFFSET(TblImps[[#This Row],[Servertime]],-1,0)+1/24</f>
        <v>44872.708333333234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44872.749999999898</v>
      </c>
      <c r="M46" s="62">
        <f>IF(ISERROR(TblImps[[#This Row],[algorithm]]),0,TblImps[[#This Row],[algorithm]]*1)</f>
        <v>0</v>
      </c>
      <c r="N46" s="97">
        <f ca="1">TblImps[[#This Row],[Land]]</f>
        <v>250</v>
      </c>
      <c r="O46" s="308" t="s">
        <v>4</v>
      </c>
      <c r="P46" s="309"/>
      <c r="Q46" s="308" t="s">
        <v>216</v>
      </c>
      <c r="R46" s="308" t="s">
        <v>7</v>
      </c>
      <c r="S46" s="309"/>
      <c r="T46" s="308" t="s">
        <v>216</v>
      </c>
      <c r="U46" s="308" t="s">
        <v>3</v>
      </c>
      <c r="V46" s="309"/>
      <c r="W46" s="308" t="s">
        <v>216</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44872.749999999898</v>
      </c>
      <c r="BZ46" s="317">
        <f ca="1">OFFSET(TblImps[[#This Row],[Servertime]],-1,0)+1/24</f>
        <v>44872.749999999898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44872.791666666562</v>
      </c>
      <c r="M47" s="62">
        <f>IF(ISERROR(TblImps[[#This Row],[algorithm]]),0,TblImps[[#This Row],[algorithm]]*1)</f>
        <v>0</v>
      </c>
      <c r="N47" s="97">
        <f ca="1">TblImps[[#This Row],[Land]]</f>
        <v>250</v>
      </c>
      <c r="O47" s="308" t="s">
        <v>4</v>
      </c>
      <c r="P47" s="309"/>
      <c r="Q47" s="308" t="s">
        <v>216</v>
      </c>
      <c r="R47" s="308" t="s">
        <v>7</v>
      </c>
      <c r="S47" s="309"/>
      <c r="T47" s="308" t="s">
        <v>216</v>
      </c>
      <c r="U47" s="308" t="s">
        <v>3</v>
      </c>
      <c r="V47" s="309"/>
      <c r="W47" s="308" t="s">
        <v>216</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44872.791666666562</v>
      </c>
      <c r="BZ47" s="317">
        <f ca="1">OFFSET(TblImps[[#This Row],[Servertime]],-1,0)+1/24</f>
        <v>44872.791666666562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44872.833333333227</v>
      </c>
      <c r="M48" s="62">
        <f>IF(ISERROR(TblImps[[#This Row],[algorithm]]),0,TblImps[[#This Row],[algorithm]]*1)</f>
        <v>0</v>
      </c>
      <c r="N48" s="97">
        <f ca="1">TblImps[[#This Row],[Land]]</f>
        <v>250</v>
      </c>
      <c r="O48" s="308" t="s">
        <v>4</v>
      </c>
      <c r="P48" s="309"/>
      <c r="Q48" s="308" t="s">
        <v>216</v>
      </c>
      <c r="R48" s="308" t="s">
        <v>7</v>
      </c>
      <c r="S48" s="309"/>
      <c r="T48" s="308" t="s">
        <v>216</v>
      </c>
      <c r="U48" s="308" t="s">
        <v>3</v>
      </c>
      <c r="V48" s="309"/>
      <c r="W48" s="308" t="s">
        <v>216</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44872.833333333227</v>
      </c>
      <c r="BZ48" s="317">
        <f ca="1">OFFSET(TblImps[[#This Row],[Servertime]],-1,0)+1/24</f>
        <v>44872.833333333227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44872.874999999891</v>
      </c>
      <c r="M49" s="62">
        <f>IF(ISERROR(TblImps[[#This Row],[algorithm]]),0,TblImps[[#This Row],[algorithm]]*1)</f>
        <v>0</v>
      </c>
      <c r="N49" s="97">
        <f ca="1">TblImps[[#This Row],[Land]]</f>
        <v>250</v>
      </c>
      <c r="O49" s="308" t="s">
        <v>4</v>
      </c>
      <c r="P49" s="309"/>
      <c r="Q49" s="308" t="s">
        <v>216</v>
      </c>
      <c r="R49" s="308" t="s">
        <v>7</v>
      </c>
      <c r="S49" s="309"/>
      <c r="T49" s="308" t="s">
        <v>216</v>
      </c>
      <c r="U49" s="308" t="s">
        <v>3</v>
      </c>
      <c r="V49" s="309"/>
      <c r="W49" s="308" t="s">
        <v>216</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44872.874999999891</v>
      </c>
      <c r="BZ49" s="317">
        <f ca="1">OFFSET(TblImps[[#This Row],[Servertime]],-1,0)+1/24</f>
        <v>44872.874999999891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44872.916666666555</v>
      </c>
      <c r="M50" s="62">
        <f>IF(ISERROR(TblImps[[#This Row],[algorithm]]),0,TblImps[[#This Row],[algorithm]]*1)</f>
        <v>0</v>
      </c>
      <c r="N50" s="97">
        <f ca="1">TblImps[[#This Row],[Land]]</f>
        <v>250</v>
      </c>
      <c r="O50" s="308" t="s">
        <v>4</v>
      </c>
      <c r="P50" s="309"/>
      <c r="Q50" s="308" t="s">
        <v>216</v>
      </c>
      <c r="R50" s="308" t="s">
        <v>7</v>
      </c>
      <c r="S50" s="309"/>
      <c r="T50" s="308" t="s">
        <v>216</v>
      </c>
      <c r="U50" s="308" t="s">
        <v>3</v>
      </c>
      <c r="V50" s="309"/>
      <c r="W50" s="308" t="s">
        <v>216</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44872.916666666555</v>
      </c>
      <c r="BZ50" s="317">
        <f ca="1">OFFSET(TblImps[[#This Row],[Servertime]],-1,0)+1/24</f>
        <v>44872.916666666555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44872.958333333219</v>
      </c>
      <c r="M51" s="62">
        <f>IF(ISERROR(TblImps[[#This Row],[algorithm]]),0,TblImps[[#This Row],[algorithm]]*1)</f>
        <v>0</v>
      </c>
      <c r="N51" s="97">
        <f ca="1">TblImps[[#This Row],[Land]]</f>
        <v>250</v>
      </c>
      <c r="O51" s="308" t="s">
        <v>4</v>
      </c>
      <c r="P51" s="309"/>
      <c r="Q51" s="308" t="s">
        <v>216</v>
      </c>
      <c r="R51" s="308" t="s">
        <v>7</v>
      </c>
      <c r="S51" s="309"/>
      <c r="T51" s="308" t="s">
        <v>216</v>
      </c>
      <c r="U51" s="308" t="s">
        <v>3</v>
      </c>
      <c r="V51" s="309"/>
      <c r="W51" s="308" t="s">
        <v>216</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44872.958333333219</v>
      </c>
      <c r="BZ51" s="317">
        <f ca="1">OFFSET(TblImps[[#This Row],[Servertime]],-1,0)+1/24</f>
        <v>44872.958333333219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44872.999999999884</v>
      </c>
      <c r="M52" s="62">
        <f>IF(ISERROR(TblImps[[#This Row],[algorithm]]),0,TblImps[[#This Row],[algorithm]]*1)</f>
        <v>0</v>
      </c>
      <c r="N52" s="97">
        <f ca="1">TblImps[[#This Row],[Land]]</f>
        <v>250</v>
      </c>
      <c r="O52" s="308" t="s">
        <v>4</v>
      </c>
      <c r="P52" s="309"/>
      <c r="Q52" s="308" t="s">
        <v>216</v>
      </c>
      <c r="R52" s="308" t="s">
        <v>7</v>
      </c>
      <c r="S52" s="309"/>
      <c r="T52" s="308" t="s">
        <v>216</v>
      </c>
      <c r="U52" s="308" t="s">
        <v>3</v>
      </c>
      <c r="V52" s="309"/>
      <c r="W52" s="308" t="s">
        <v>216</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44872.999999999884</v>
      </c>
      <c r="BZ52" s="317">
        <f ca="1">OFFSET(TblImps[[#This Row],[Servertime]],-1,0)+1/24</f>
        <v>44872.999999999884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44873.041666666548</v>
      </c>
      <c r="M53" s="62">
        <f>IF(ISERROR(TblImps[[#This Row],[algorithm]]),0,TblImps[[#This Row],[algorithm]]*1)</f>
        <v>0</v>
      </c>
      <c r="N53" s="97">
        <f ca="1">TblImps[[#This Row],[Land]]</f>
        <v>250</v>
      </c>
      <c r="O53" s="308" t="s">
        <v>4</v>
      </c>
      <c r="P53" s="309"/>
      <c r="Q53" s="308" t="s">
        <v>216</v>
      </c>
      <c r="R53" s="308" t="s">
        <v>7</v>
      </c>
      <c r="S53" s="309"/>
      <c r="T53" s="308" t="s">
        <v>216</v>
      </c>
      <c r="U53" s="308" t="s">
        <v>3</v>
      </c>
      <c r="V53" s="309"/>
      <c r="W53" s="308" t="s">
        <v>216</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44873.041666666548</v>
      </c>
      <c r="BZ53" s="317">
        <f ca="1">OFFSET(TblImps[[#This Row],[Servertime]],-1,0)+1/24</f>
        <v>44873.041666666548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44873.083333333212</v>
      </c>
      <c r="M54" s="62">
        <f>IF(ISERROR(TblImps[[#This Row],[algorithm]]),0,TblImps[[#This Row],[algorithm]]*1)</f>
        <v>0</v>
      </c>
      <c r="N54" s="97">
        <f ca="1">TblImps[[#This Row],[Land]]</f>
        <v>250</v>
      </c>
      <c r="O54" s="308" t="s">
        <v>2</v>
      </c>
      <c r="P54" s="309"/>
      <c r="Q54" s="308" t="s">
        <v>216</v>
      </c>
      <c r="R54" s="308" t="s">
        <v>7</v>
      </c>
      <c r="S54" s="309"/>
      <c r="T54" s="308" t="s">
        <v>216</v>
      </c>
      <c r="U54" s="308" t="s">
        <v>3</v>
      </c>
      <c r="V54" s="309"/>
      <c r="W54" s="308" t="s">
        <v>216</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44873.083333333212</v>
      </c>
      <c r="BZ54" s="317">
        <f ca="1">OFFSET(TblImps[[#This Row],[Servertime]],-1,0)+1/24</f>
        <v>44873.083333333212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44873.124999999876</v>
      </c>
      <c r="M55" s="62">
        <f>IF(ISERROR(TblImps[[#This Row],[algorithm]]),0,TblImps[[#This Row],[algorithm]]*1)</f>
        <v>0</v>
      </c>
      <c r="N55" s="97">
        <f ca="1">TblImps[[#This Row],[Land]]</f>
        <v>250</v>
      </c>
      <c r="O55" s="308" t="s">
        <v>4</v>
      </c>
      <c r="P55" s="309"/>
      <c r="Q55" s="308" t="s">
        <v>216</v>
      </c>
      <c r="R55" s="308" t="s">
        <v>7</v>
      </c>
      <c r="S55" s="309"/>
      <c r="T55" s="308" t="s">
        <v>216</v>
      </c>
      <c r="U55" s="308" t="s">
        <v>3</v>
      </c>
      <c r="V55" s="309"/>
      <c r="W55" s="308" t="s">
        <v>216</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44873.124999999876</v>
      </c>
      <c r="BZ55" s="317">
        <f ca="1">OFFSET(TblImps[[#This Row],[Servertime]],-1,0)+1/24</f>
        <v>44873.124999999876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44873.166666666541</v>
      </c>
      <c r="M56" s="62">
        <f>IF(ISERROR(TblImps[[#This Row],[algorithm]]),0,TblImps[[#This Row],[algorithm]]*1)</f>
        <v>0</v>
      </c>
      <c r="N56" s="97">
        <f ca="1">TblImps[[#This Row],[Land]]</f>
        <v>250</v>
      </c>
      <c r="O56" s="308" t="s">
        <v>4</v>
      </c>
      <c r="P56" s="309"/>
      <c r="Q56" s="308" t="s">
        <v>216</v>
      </c>
      <c r="R56" s="308" t="s">
        <v>7</v>
      </c>
      <c r="S56" s="309"/>
      <c r="T56" s="308" t="s">
        <v>216</v>
      </c>
      <c r="U56" s="308" t="s">
        <v>3</v>
      </c>
      <c r="V56" s="309"/>
      <c r="W56" s="308" t="s">
        <v>216</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44873.166666666541</v>
      </c>
      <c r="BZ56" s="317">
        <f ca="1">OFFSET(TblImps[[#This Row],[Servertime]],-1,0)+1/24</f>
        <v>44873.166666666541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44873.208333333205</v>
      </c>
      <c r="M57" s="62">
        <f>IF(ISERROR(TblImps[[#This Row],[algorithm]]),0,TblImps[[#This Row],[algorithm]]*1)</f>
        <v>0</v>
      </c>
      <c r="N57" s="97">
        <f ca="1">TblImps[[#This Row],[Land]]</f>
        <v>250</v>
      </c>
      <c r="O57" s="308" t="s">
        <v>4</v>
      </c>
      <c r="P57" s="309"/>
      <c r="Q57" s="308" t="s">
        <v>216</v>
      </c>
      <c r="R57" s="308" t="s">
        <v>7</v>
      </c>
      <c r="S57" s="309"/>
      <c r="T57" s="308" t="s">
        <v>216</v>
      </c>
      <c r="U57" s="308" t="s">
        <v>3</v>
      </c>
      <c r="V57" s="309"/>
      <c r="W57" s="308" t="s">
        <v>216</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44873.208333333205</v>
      </c>
      <c r="BZ57" s="317">
        <f ca="1">OFFSET(TblImps[[#This Row],[Servertime]],-1,0)+1/24</f>
        <v>44873.208333333205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44873.249999999869</v>
      </c>
      <c r="M58" s="62">
        <f>IF(ISERROR(TblImps[[#This Row],[algorithm]]),0,TblImps[[#This Row],[algorithm]]*1)</f>
        <v>0</v>
      </c>
      <c r="N58" s="97">
        <f ca="1">TblImps[[#This Row],[Land]]</f>
        <v>250</v>
      </c>
      <c r="O58" s="308" t="s">
        <v>4</v>
      </c>
      <c r="P58" s="309"/>
      <c r="Q58" s="308" t="s">
        <v>216</v>
      </c>
      <c r="R58" s="308" t="s">
        <v>7</v>
      </c>
      <c r="S58" s="309"/>
      <c r="T58" s="308" t="s">
        <v>216</v>
      </c>
      <c r="U58" s="308" t="s">
        <v>3</v>
      </c>
      <c r="V58" s="309"/>
      <c r="W58" s="308" t="s">
        <v>216</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44873.249999999869</v>
      </c>
      <c r="BZ58" s="317">
        <f ca="1">OFFSET(TblImps[[#This Row],[Servertime]],-1,0)+1/24</f>
        <v>44873.249999999869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44873.291666666533</v>
      </c>
      <c r="M59" s="62">
        <f>IF(ISERROR(TblImps[[#This Row],[algorithm]]),0,TblImps[[#This Row],[algorithm]]*1)</f>
        <v>0</v>
      </c>
      <c r="N59" s="97">
        <f ca="1">TblImps[[#This Row],[Land]]</f>
        <v>250</v>
      </c>
      <c r="O59" s="308" t="s">
        <v>4</v>
      </c>
      <c r="P59" s="309"/>
      <c r="Q59" s="308" t="s">
        <v>216</v>
      </c>
      <c r="R59" s="308" t="s">
        <v>7</v>
      </c>
      <c r="S59" s="309"/>
      <c r="T59" s="308" t="s">
        <v>216</v>
      </c>
      <c r="U59" s="308" t="s">
        <v>3</v>
      </c>
      <c r="V59" s="309"/>
      <c r="W59" s="308" t="s">
        <v>216</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44873.291666666533</v>
      </c>
      <c r="BZ59" s="317">
        <f ca="1">OFFSET(TblImps[[#This Row],[Servertime]],-1,0)+1/24</f>
        <v>44873.291666666533</v>
      </c>
      <c r="CA59" s="57"/>
      <c r="CB59" s="315"/>
      <c r="CC59" s="315"/>
    </row>
    <row r="60" spans="1:81" x14ac:dyDescent="0.2">
      <c r="A60" s="225">
        <f ca="1">TblConstr[[#This Row],[Land]]</f>
        <v>250</v>
      </c>
      <c r="B60" s="145"/>
      <c r="C60" s="97">
        <f ca="1">TblProd[[#This Row],[Platinum]]</f>
        <v>353183</v>
      </c>
      <c r="D60" s="97">
        <f ca="1">TblProd[[#This Row],[Lumber]]</f>
        <v>43183</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44873.333333333198</v>
      </c>
      <c r="M60" s="62">
        <f>IF(ISERROR(TblImps[[#This Row],[algorithm]]),0,TblImps[[#This Row],[algorithm]]*1)</f>
        <v>0</v>
      </c>
      <c r="N60" s="97">
        <f ca="1">TblImps[[#This Row],[Land]]</f>
        <v>250</v>
      </c>
      <c r="O60" s="308" t="s">
        <v>4</v>
      </c>
      <c r="P60" s="309"/>
      <c r="Q60" s="308" t="s">
        <v>216</v>
      </c>
      <c r="R60" s="308" t="s">
        <v>7</v>
      </c>
      <c r="S60" s="309"/>
      <c r="T60" s="308" t="s">
        <v>216</v>
      </c>
      <c r="U60" s="308" t="s">
        <v>3</v>
      </c>
      <c r="V60" s="309"/>
      <c r="W60" s="308" t="s">
        <v>216</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44873.333333333198</v>
      </c>
      <c r="BZ60" s="317">
        <f ca="1">OFFSET(TblImps[[#This Row],[Servertime]],-1,0)+1/24</f>
        <v>44873.333333333198</v>
      </c>
      <c r="CA60" s="57"/>
      <c r="CB60" s="315"/>
      <c r="CC60" s="315"/>
    </row>
    <row r="61" spans="1:81" x14ac:dyDescent="0.2">
      <c r="A61" s="225">
        <f ca="1">TblConstr[[#This Row],[Land]]</f>
        <v>250</v>
      </c>
      <c r="B61" s="145"/>
      <c r="C61" s="97">
        <f ca="1">TblProd[[#This Row],[Platinum]]</f>
        <v>352891</v>
      </c>
      <c r="D61" s="97">
        <f ca="1">TblProd[[#This Row],[Lumber]]</f>
        <v>42868</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44873.374999999862</v>
      </c>
      <c r="M61" s="62">
        <f>IF(ISERROR(TblImps[[#This Row],[algorithm]]),0,TblImps[[#This Row],[algorithm]]*1)</f>
        <v>0</v>
      </c>
      <c r="N61" s="97">
        <f ca="1">TblImps[[#This Row],[Land]]</f>
        <v>250</v>
      </c>
      <c r="O61" s="308" t="s">
        <v>4</v>
      </c>
      <c r="P61" s="309"/>
      <c r="Q61" s="308" t="s">
        <v>216</v>
      </c>
      <c r="R61" s="308" t="s">
        <v>7</v>
      </c>
      <c r="S61" s="309"/>
      <c r="T61" s="308" t="s">
        <v>216</v>
      </c>
      <c r="U61" s="308" t="s">
        <v>3</v>
      </c>
      <c r="V61" s="309"/>
      <c r="W61" s="308" t="s">
        <v>216</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44873.374999999862</v>
      </c>
      <c r="BZ61" s="317">
        <f ca="1">OFFSET(TblImps[[#This Row],[Servertime]],-1,0)+1/24</f>
        <v>44873.374999999862</v>
      </c>
      <c r="CA61" s="57"/>
      <c r="CB61" s="315"/>
      <c r="CC61" s="315"/>
    </row>
    <row r="62" spans="1:81" x14ac:dyDescent="0.2">
      <c r="A62" s="225">
        <f ca="1">TblConstr[[#This Row],[Land]]</f>
        <v>250</v>
      </c>
      <c r="B62" s="145"/>
      <c r="C62" s="97">
        <f ca="1">TblProd[[#This Row],[Platinum]]</f>
        <v>352439</v>
      </c>
      <c r="D62" s="97">
        <f ca="1">TblProd[[#This Row],[Lumber]]</f>
        <v>42531</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44873.416666666526</v>
      </c>
      <c r="M62" s="62">
        <f>IF(ISERROR(TblImps[[#This Row],[algorithm]]),0,TblImps[[#This Row],[algorithm]]*1)</f>
        <v>0</v>
      </c>
      <c r="N62" s="97">
        <f ca="1">TblImps[[#This Row],[Land]]</f>
        <v>250</v>
      </c>
      <c r="O62" s="308" t="s">
        <v>4</v>
      </c>
      <c r="P62" s="309"/>
      <c r="Q62" s="308" t="s">
        <v>216</v>
      </c>
      <c r="R62" s="308" t="s">
        <v>7</v>
      </c>
      <c r="S62" s="309"/>
      <c r="T62" s="308" t="s">
        <v>216</v>
      </c>
      <c r="U62" s="308" t="s">
        <v>3</v>
      </c>
      <c r="V62" s="309"/>
      <c r="W62" s="308" t="s">
        <v>216</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44873.416666666526</v>
      </c>
      <c r="BZ62" s="317">
        <f ca="1">OFFSET(TblImps[[#This Row],[Servertime]],-1,0)+1/24</f>
        <v>44873.416666666526</v>
      </c>
      <c r="CA62" s="57"/>
      <c r="CB62" s="315"/>
      <c r="CC62" s="315"/>
    </row>
    <row r="63" spans="1:81" x14ac:dyDescent="0.2">
      <c r="A63" s="225">
        <f ca="1">TblConstr[[#This Row],[Land]]</f>
        <v>250</v>
      </c>
      <c r="B63" s="145"/>
      <c r="C63" s="97">
        <f ca="1">TblProd[[#This Row],[Platinum]]</f>
        <v>351827</v>
      </c>
      <c r="D63" s="97">
        <f ca="1">TblProd[[#This Row],[Lumber]]</f>
        <v>42173</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44873.45833333319</v>
      </c>
      <c r="M63" s="62">
        <f>IF(ISERROR(TblImps[[#This Row],[algorithm]]),0,TblImps[[#This Row],[algorithm]]*1)</f>
        <v>0</v>
      </c>
      <c r="N63" s="97">
        <f ca="1">TblImps[[#This Row],[Land]]</f>
        <v>250</v>
      </c>
      <c r="O63" s="308" t="s">
        <v>4</v>
      </c>
      <c r="P63" s="309"/>
      <c r="Q63" s="308" t="s">
        <v>216</v>
      </c>
      <c r="R63" s="308" t="s">
        <v>7</v>
      </c>
      <c r="S63" s="309"/>
      <c r="T63" s="308" t="s">
        <v>216</v>
      </c>
      <c r="U63" s="308" t="s">
        <v>3</v>
      </c>
      <c r="V63" s="309"/>
      <c r="W63" s="308" t="s">
        <v>216</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44873.45833333319</v>
      </c>
      <c r="BZ63" s="317">
        <f ca="1">OFFSET(TblImps[[#This Row],[Servertime]],-1,0)+1/24</f>
        <v>44873.45833333319</v>
      </c>
      <c r="CA63" s="57"/>
      <c r="CB63" s="315"/>
      <c r="CC63" s="315"/>
    </row>
    <row r="64" spans="1:81" x14ac:dyDescent="0.2">
      <c r="A64" s="225">
        <f ca="1">TblConstr[[#This Row],[Land]]</f>
        <v>250</v>
      </c>
      <c r="B64" s="145"/>
      <c r="C64" s="97">
        <f ca="1">TblProd[[#This Row],[Platinum]]</f>
        <v>357313</v>
      </c>
      <c r="D64" s="97">
        <f ca="1">TblProd[[#This Row],[Lumber]]</f>
        <v>42751</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44873.499999999854</v>
      </c>
      <c r="M64" s="62">
        <f>IF(ISERROR(TblImps[[#This Row],[algorithm]]),0,TblImps[[#This Row],[algorithm]]*1)</f>
        <v>0</v>
      </c>
      <c r="N64" s="97">
        <f ca="1">TblImps[[#This Row],[Land]]</f>
        <v>250</v>
      </c>
      <c r="O64" s="308" t="s">
        <v>4</v>
      </c>
      <c r="P64" s="309"/>
      <c r="Q64" s="308" t="s">
        <v>216</v>
      </c>
      <c r="R64" s="308" t="s">
        <v>7</v>
      </c>
      <c r="S64" s="309"/>
      <c r="T64" s="308" t="s">
        <v>216</v>
      </c>
      <c r="U64" s="308" t="s">
        <v>3</v>
      </c>
      <c r="V64" s="309"/>
      <c r="W64" s="308" t="s">
        <v>216</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44873.499999999854</v>
      </c>
      <c r="BZ64" s="317">
        <f ca="1">OFFSET(TblImps[[#This Row],[Servertime]],-1,0)+1/24</f>
        <v>44873.499999999854</v>
      </c>
      <c r="CA64" s="57"/>
      <c r="CB64" s="315"/>
      <c r="CC64" s="315"/>
    </row>
    <row r="65" spans="1:84" x14ac:dyDescent="0.2">
      <c r="A65" s="225">
        <f ca="1">TblConstr[[#This Row],[Land]]</f>
        <v>250</v>
      </c>
      <c r="B65" s="145"/>
      <c r="C65" s="97">
        <f ca="1">TblProd[[#This Row],[Platinum]]</f>
        <v>362799</v>
      </c>
      <c r="D65" s="97">
        <f ca="1">TblProd[[#This Row],[Lumber]]</f>
        <v>43323</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44873.541666666519</v>
      </c>
      <c r="M65" s="62">
        <f>IF(ISERROR(TblImps[[#This Row],[algorithm]]),0,TblImps[[#This Row],[algorithm]]*1)</f>
        <v>0</v>
      </c>
      <c r="N65" s="97">
        <f ca="1">TblImps[[#This Row],[Land]]</f>
        <v>250</v>
      </c>
      <c r="O65" s="308" t="s">
        <v>4</v>
      </c>
      <c r="P65" s="309"/>
      <c r="Q65" s="308" t="s">
        <v>216</v>
      </c>
      <c r="R65" s="308" t="s">
        <v>7</v>
      </c>
      <c r="S65" s="309"/>
      <c r="T65" s="308" t="s">
        <v>216</v>
      </c>
      <c r="U65" s="308" t="s">
        <v>3</v>
      </c>
      <c r="V65" s="309"/>
      <c r="W65" s="308" t="s">
        <v>216</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44873.541666666519</v>
      </c>
      <c r="BZ65" s="317">
        <f ca="1">OFFSET(TblImps[[#This Row],[Servertime]],-1,0)+1/24</f>
        <v>44873.541666666519</v>
      </c>
      <c r="CA65" s="57"/>
      <c r="CB65" s="315"/>
      <c r="CC65" s="315"/>
    </row>
    <row r="66" spans="1:84" x14ac:dyDescent="0.2">
      <c r="A66" s="225">
        <f ca="1">TblConstr[[#This Row],[Land]]</f>
        <v>250</v>
      </c>
      <c r="B66" s="145"/>
      <c r="C66" s="97">
        <f ca="1">TblProd[[#This Row],[Platinum]]</f>
        <v>368285</v>
      </c>
      <c r="D66" s="97">
        <f ca="1">TblProd[[#This Row],[Lumber]]</f>
        <v>43890</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44873.583333333183</v>
      </c>
      <c r="M66" s="62">
        <f>IF(ISERROR(TblImps[[#This Row],[algorithm]]),0,TblImps[[#This Row],[algorithm]]*1)</f>
        <v>0</v>
      </c>
      <c r="N66" s="97">
        <f ca="1">TblImps[[#This Row],[Land]]</f>
        <v>250</v>
      </c>
      <c r="O66" s="308" t="s">
        <v>2</v>
      </c>
      <c r="P66" s="309"/>
      <c r="Q66" s="308" t="s">
        <v>216</v>
      </c>
      <c r="R66" s="308" t="s">
        <v>7</v>
      </c>
      <c r="S66" s="309"/>
      <c r="T66" s="308" t="s">
        <v>216</v>
      </c>
      <c r="U66" s="308" t="s">
        <v>3</v>
      </c>
      <c r="V66" s="309"/>
      <c r="W66" s="308" t="s">
        <v>216</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44873.583333333183</v>
      </c>
      <c r="BZ66" s="317">
        <f ca="1">OFFSET(TblImps[[#This Row],[Servertime]],-1,0)+1/24</f>
        <v>44873.583333333183</v>
      </c>
      <c r="CA66" s="320"/>
      <c r="CB66" s="315"/>
      <c r="CC66" s="315"/>
    </row>
    <row r="67" spans="1:84" x14ac:dyDescent="0.2">
      <c r="A67" s="225">
        <f ca="1">TblConstr[[#This Row],[Land]]</f>
        <v>250</v>
      </c>
      <c r="B67" s="145"/>
      <c r="C67" s="97">
        <f ca="1">TblProd[[#This Row],[Platinum]]</f>
        <v>373771</v>
      </c>
      <c r="D67" s="97">
        <f ca="1">TblProd[[#This Row],[Lumber]]</f>
        <v>44451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44873.624999999847</v>
      </c>
      <c r="M67" s="62">
        <f>IF(ISERROR(TblImps[[#This Row],[algorithm]]),0,TblImps[[#This Row],[algorithm]]*1)</f>
        <v>0</v>
      </c>
      <c r="N67" s="97">
        <f ca="1">TblImps[[#This Row],[Land]]</f>
        <v>250</v>
      </c>
      <c r="O67" s="308" t="s">
        <v>4</v>
      </c>
      <c r="P67" s="309"/>
      <c r="Q67" s="308" t="s">
        <v>216</v>
      </c>
      <c r="R67" s="308" t="s">
        <v>7</v>
      </c>
      <c r="S67" s="309"/>
      <c r="T67" s="308" t="s">
        <v>216</v>
      </c>
      <c r="U67" s="308" t="s">
        <v>3</v>
      </c>
      <c r="V67" s="309"/>
      <c r="W67" s="308" t="s">
        <v>216</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44873.624999999847</v>
      </c>
      <c r="BZ67" s="317">
        <f ca="1">OFFSET(TblImps[[#This Row],[Servertime]],-1,0)+1/24</f>
        <v>44873.624999999847</v>
      </c>
      <c r="CA67" s="57"/>
      <c r="CB67" s="315"/>
      <c r="CC67" s="315"/>
    </row>
    <row r="68" spans="1:84" x14ac:dyDescent="0.2">
      <c r="A68" s="225">
        <f ca="1">TblConstr[[#This Row],[Land]]</f>
        <v>250</v>
      </c>
      <c r="B68" s="145"/>
      <c r="C68" s="97">
        <f ca="1">TblProd[[#This Row],[Platinum]]</f>
        <v>379257</v>
      </c>
      <c r="D68" s="97">
        <f ca="1">TblProd[[#This Row],[Lumber]]</f>
        <v>45006</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44873.666666666511</v>
      </c>
      <c r="M68" s="62">
        <f>IF(ISERROR(TblImps[[#This Row],[algorithm]]),0,TblImps[[#This Row],[algorithm]]*1)</f>
        <v>0</v>
      </c>
      <c r="N68" s="97">
        <f ca="1">TblImps[[#This Row],[Land]]</f>
        <v>250</v>
      </c>
      <c r="O68" s="308" t="s">
        <v>4</v>
      </c>
      <c r="P68" s="309"/>
      <c r="Q68" s="308" t="s">
        <v>216</v>
      </c>
      <c r="R68" s="308" t="s">
        <v>7</v>
      </c>
      <c r="S68" s="309"/>
      <c r="T68" s="308" t="s">
        <v>216</v>
      </c>
      <c r="U68" s="308" t="s">
        <v>3</v>
      </c>
      <c r="V68" s="309"/>
      <c r="W68" s="308" t="s">
        <v>216</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44873.666666666511</v>
      </c>
      <c r="BZ68" s="317">
        <f ca="1">OFFSET(TblImps[[#This Row],[Servertime]],-1,0)+1/24</f>
        <v>44873.666666666511</v>
      </c>
      <c r="CA68" s="57"/>
      <c r="CB68" s="315"/>
      <c r="CC68" s="315"/>
    </row>
    <row r="69" spans="1:84" x14ac:dyDescent="0.2">
      <c r="A69" s="225">
        <f ca="1">TblConstr[[#This Row],[Land]]</f>
        <v>250</v>
      </c>
      <c r="B69" s="145"/>
      <c r="C69" s="97">
        <f ca="1">TblProd[[#This Row],[Platinum]]</f>
        <v>384743</v>
      </c>
      <c r="D69" s="97">
        <f ca="1">TblProd[[#This Row],[Lumber]]</f>
        <v>45556</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44873.708333333176</v>
      </c>
      <c r="M69" s="62">
        <f>IF(ISERROR(TblImps[[#This Row],[algorithm]]),0,TblImps[[#This Row],[algorithm]]*1)</f>
        <v>0</v>
      </c>
      <c r="N69" s="97">
        <f ca="1">TblImps[[#This Row],[Land]]</f>
        <v>250</v>
      </c>
      <c r="O69" s="308" t="s">
        <v>4</v>
      </c>
      <c r="P69" s="309"/>
      <c r="Q69" s="308" t="s">
        <v>216</v>
      </c>
      <c r="R69" s="308" t="s">
        <v>7</v>
      </c>
      <c r="S69" s="309"/>
      <c r="T69" s="308" t="s">
        <v>216</v>
      </c>
      <c r="U69" s="308" t="s">
        <v>3</v>
      </c>
      <c r="V69" s="309"/>
      <c r="W69" s="308" t="s">
        <v>216</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44873.708333333176</v>
      </c>
      <c r="BZ69" s="317">
        <f ca="1">OFFSET(TblImps[[#This Row],[Servertime]],-1,0)+1/24</f>
        <v>44873.708333333176</v>
      </c>
      <c r="CA69" s="57"/>
      <c r="CB69" s="315"/>
      <c r="CC69" s="315"/>
    </row>
    <row r="70" spans="1:84" x14ac:dyDescent="0.2">
      <c r="A70" s="225">
        <f ca="1">TblConstr[[#This Row],[Land]]</f>
        <v>250</v>
      </c>
      <c r="B70" s="145"/>
      <c r="C70" s="97">
        <f ca="1">TblProd[[#This Row],[Platinum]]</f>
        <v>390229</v>
      </c>
      <c r="D70" s="97">
        <f ca="1">TblProd[[#This Row],[Lumber]]</f>
        <v>46100</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44873.74999999984</v>
      </c>
      <c r="M70" s="62">
        <f>IF(ISERROR(TblImps[[#This Row],[algorithm]]),0,TblImps[[#This Row],[algorithm]]*1)</f>
        <v>0</v>
      </c>
      <c r="N70" s="97">
        <f ca="1">TblImps[[#This Row],[Land]]</f>
        <v>250</v>
      </c>
      <c r="O70" s="308" t="s">
        <v>4</v>
      </c>
      <c r="P70" s="309"/>
      <c r="Q70" s="308" t="s">
        <v>216</v>
      </c>
      <c r="R70" s="308" t="s">
        <v>7</v>
      </c>
      <c r="S70" s="309"/>
      <c r="T70" s="308" t="s">
        <v>216</v>
      </c>
      <c r="U70" s="308" t="s">
        <v>3</v>
      </c>
      <c r="V70" s="309"/>
      <c r="W70" s="308" t="s">
        <v>216</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44873.74999999984</v>
      </c>
      <c r="BZ70" s="317">
        <f ca="1">OFFSET(TblImps[[#This Row],[Servertime]],-1,0)+1/24</f>
        <v>44873.74999999984</v>
      </c>
      <c r="CA70" s="57"/>
      <c r="CB70" s="315"/>
      <c r="CC70" s="315"/>
    </row>
    <row r="71" spans="1:84" x14ac:dyDescent="0.2">
      <c r="A71" s="225">
        <f ca="1">TblConstr[[#This Row],[Land]]</f>
        <v>250</v>
      </c>
      <c r="B71" s="145"/>
      <c r="C71" s="97">
        <f ca="1">TblProd[[#This Row],[Platinum]]</f>
        <v>395715</v>
      </c>
      <c r="D71" s="97">
        <f ca="1">TblProd[[#This Row],[Lumber]]</f>
        <v>46639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44873.791666666504</v>
      </c>
      <c r="M71" s="62">
        <f>IF(ISERROR(TblImps[[#This Row],[algorithm]]),0,TblImps[[#This Row],[algorithm]]*1)</f>
        <v>0</v>
      </c>
      <c r="N71" s="97">
        <f ca="1">TblImps[[#This Row],[Land]]</f>
        <v>250</v>
      </c>
      <c r="O71" s="308" t="s">
        <v>4</v>
      </c>
      <c r="P71" s="309"/>
      <c r="Q71" s="308" t="s">
        <v>216</v>
      </c>
      <c r="R71" s="308" t="s">
        <v>7</v>
      </c>
      <c r="S71" s="309"/>
      <c r="T71" s="308" t="s">
        <v>216</v>
      </c>
      <c r="U71" s="308" t="s">
        <v>3</v>
      </c>
      <c r="V71" s="309"/>
      <c r="W71" s="308" t="s">
        <v>216</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44873.791666666504</v>
      </c>
      <c r="BZ71" s="317">
        <f ca="1">OFFSET(TblImps[[#This Row],[Servertime]],-1,0)+1/24</f>
        <v>44873.791666666504</v>
      </c>
      <c r="CA71" s="57"/>
      <c r="CB71" s="315"/>
      <c r="CC71" s="315"/>
    </row>
    <row r="72" spans="1:84" x14ac:dyDescent="0.2">
      <c r="A72" s="225">
        <f ca="1">TblConstr[[#This Row],[Land]]</f>
        <v>250</v>
      </c>
      <c r="B72" s="145"/>
      <c r="C72" s="97">
        <f ca="1">TblProd[[#This Row],[Platinum]]</f>
        <v>401201</v>
      </c>
      <c r="D72" s="97">
        <f ca="1">TblProd[[#This Row],[Lumber]]</f>
        <v>47173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44873.833333333168</v>
      </c>
      <c r="M72" s="62">
        <f>IF(ISERROR(TblImps[[#This Row],[algorithm]]),0,TblImps[[#This Row],[algorithm]]*1)</f>
        <v>0</v>
      </c>
      <c r="N72" s="97">
        <f ca="1">TblImps[[#This Row],[Land]]</f>
        <v>250</v>
      </c>
      <c r="O72" s="308" t="s">
        <v>4</v>
      </c>
      <c r="P72" s="309"/>
      <c r="Q72" s="308" t="s">
        <v>216</v>
      </c>
      <c r="R72" s="308" t="s">
        <v>7</v>
      </c>
      <c r="S72" s="309"/>
      <c r="T72" s="308" t="s">
        <v>216</v>
      </c>
      <c r="U72" s="308" t="s">
        <v>3</v>
      </c>
      <c r="V72" s="309"/>
      <c r="W72" s="308" t="s">
        <v>216</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44873.833333333168</v>
      </c>
      <c r="BZ72" s="317">
        <f ca="1">OFFSET(TblImps[[#This Row],[Servertime]],-1,0)+1/24</f>
        <v>44873.833333333168</v>
      </c>
      <c r="CA72" s="57"/>
      <c r="CB72" s="315"/>
      <c r="CC72" s="315"/>
    </row>
    <row r="73" spans="1:84" x14ac:dyDescent="0.2">
      <c r="A73" s="225">
        <f ca="1">TblConstr[[#This Row],[Land]]</f>
        <v>250</v>
      </c>
      <c r="B73" s="145"/>
      <c r="C73" s="97">
        <f ca="1">TblProd[[#This Row],[Platinum]]</f>
        <v>406687</v>
      </c>
      <c r="D73" s="97">
        <f ca="1">TblProd[[#This Row],[Lumber]]</f>
        <v>47701</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44873.874999999833</v>
      </c>
      <c r="M73" s="62">
        <f>IF(ISERROR(TblImps[[#This Row],[algorithm]]),0,TblImps[[#This Row],[algorithm]]*1)</f>
        <v>0</v>
      </c>
      <c r="N73" s="97">
        <f ca="1">TblImps[[#This Row],[Land]]</f>
        <v>250</v>
      </c>
      <c r="O73" s="308" t="s">
        <v>4</v>
      </c>
      <c r="P73" s="309"/>
      <c r="Q73" s="308" t="s">
        <v>216</v>
      </c>
      <c r="R73" s="308" t="s">
        <v>7</v>
      </c>
      <c r="S73" s="309"/>
      <c r="T73" s="308" t="s">
        <v>216</v>
      </c>
      <c r="U73" s="308" t="s">
        <v>3</v>
      </c>
      <c r="V73" s="309"/>
      <c r="W73" s="308" t="s">
        <v>216</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44873.874999999833</v>
      </c>
      <c r="BZ73" s="317">
        <f ca="1">OFFSET(TblImps[[#This Row],[Servertime]],-1,0)+1/24</f>
        <v>44873.874999999833</v>
      </c>
      <c r="CA73" s="57"/>
      <c r="CB73" s="315"/>
      <c r="CC73" s="315"/>
    </row>
    <row r="74" spans="1:84" x14ac:dyDescent="0.2">
      <c r="A74" s="225">
        <f ca="1">TblConstr[[#This Row],[Land]]</f>
        <v>250</v>
      </c>
      <c r="B74" s="145"/>
      <c r="C74" s="97">
        <f ca="1">TblProd[[#This Row],[Platinum]]</f>
        <v>412173</v>
      </c>
      <c r="D74" s="97">
        <f ca="1">TblProd[[#This Row],[Lumber]]</f>
        <v>48224</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44873.916666666497</v>
      </c>
      <c r="M74" s="62">
        <f>IF(ISERROR(TblImps[[#This Row],[algorithm]]),0,TblImps[[#This Row],[algorithm]]*1)</f>
        <v>0</v>
      </c>
      <c r="N74" s="97">
        <f ca="1">TblImps[[#This Row],[Land]]</f>
        <v>250</v>
      </c>
      <c r="O74" s="308" t="s">
        <v>4</v>
      </c>
      <c r="P74" s="309"/>
      <c r="Q74" s="308" t="s">
        <v>216</v>
      </c>
      <c r="R74" s="308" t="s">
        <v>7</v>
      </c>
      <c r="S74" s="309"/>
      <c r="T74" s="308" t="s">
        <v>216</v>
      </c>
      <c r="U74" s="308" t="s">
        <v>3</v>
      </c>
      <c r="V74" s="309"/>
      <c r="W74" s="308" t="s">
        <v>216</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44873.916666666497</v>
      </c>
      <c r="BZ74" s="317">
        <f ca="1">OFFSET(TblImps[[#This Row],[Servertime]],-1,0)+1/24</f>
        <v>44873.916666666497</v>
      </c>
      <c r="CA74" s="57"/>
      <c r="CB74" s="315"/>
      <c r="CC74" s="315"/>
    </row>
    <row r="75" spans="1:84" x14ac:dyDescent="0.2">
      <c r="A75" s="225">
        <f ca="1">TblConstr[[#This Row],[Land]]</f>
        <v>250</v>
      </c>
      <c r="B75" s="145"/>
      <c r="C75" s="97">
        <f ca="1">TblProd[[#This Row],[Platinum]]</f>
        <v>417659</v>
      </c>
      <c r="D75" s="97">
        <f ca="1">TblProd[[#This Row],[Lumber]]</f>
        <v>48742</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44873.958333333161</v>
      </c>
      <c r="M75" s="62">
        <f>IF(ISERROR(TblImps[[#This Row],[algorithm]]),0,TblImps[[#This Row],[algorithm]]*1)</f>
        <v>0</v>
      </c>
      <c r="N75" s="97">
        <f ca="1">TblImps[[#This Row],[Land]]</f>
        <v>250</v>
      </c>
      <c r="O75" s="308" t="s">
        <v>4</v>
      </c>
      <c r="P75" s="309"/>
      <c r="Q75" s="308" t="s">
        <v>216</v>
      </c>
      <c r="R75" s="308" t="s">
        <v>7</v>
      </c>
      <c r="S75" s="309"/>
      <c r="T75" s="308" t="s">
        <v>216</v>
      </c>
      <c r="U75" s="308" t="s">
        <v>3</v>
      </c>
      <c r="V75" s="309"/>
      <c r="W75" s="308" t="s">
        <v>216</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44873.958333333161</v>
      </c>
      <c r="BZ75" s="317">
        <f ca="1">OFFSET(TblImps[[#This Row],[Servertime]],-1,0)+1/24</f>
        <v>44873.958333333161</v>
      </c>
      <c r="CA75" s="57"/>
      <c r="CB75" s="315"/>
      <c r="CC75" s="315"/>
    </row>
    <row r="76" spans="1:84" x14ac:dyDescent="0.2">
      <c r="A76" s="242">
        <f ca="1">TblConstr[[#This Row],[Land]]</f>
        <v>250</v>
      </c>
      <c r="B76" s="152"/>
      <c r="C76" s="210">
        <f ca="1">TblProd[[#This Row],[Platinum]]</f>
        <v>404403</v>
      </c>
      <c r="D76" s="210">
        <f ca="1">TblProd[[#This Row],[Lumber]]</f>
        <v>46389</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44873.999999999825</v>
      </c>
      <c r="M76" s="200">
        <f>IF(ISERROR(TblImps[[#This Row],[algorithm]]),0,TblImps[[#This Row],[algorithm]]*1)</f>
        <v>0</v>
      </c>
      <c r="N76" s="210">
        <f ca="1">TblImps[[#This Row],[Land]]</f>
        <v>250</v>
      </c>
      <c r="O76" s="323" t="s">
        <v>4</v>
      </c>
      <c r="P76" s="324"/>
      <c r="Q76" s="323" t="s">
        <v>216</v>
      </c>
      <c r="R76" s="308" t="s">
        <v>7</v>
      </c>
      <c r="S76" s="324"/>
      <c r="T76" s="323" t="s">
        <v>216</v>
      </c>
      <c r="U76" s="323" t="s">
        <v>3</v>
      </c>
      <c r="V76" s="324"/>
      <c r="W76" s="323" t="s">
        <v>216</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44873.999999999825</v>
      </c>
      <c r="BZ76" s="327">
        <f ca="1">OFFSET(TblImps[[#This Row],[Servertime]],-1,0)+1/24</f>
        <v>44873.999999999825</v>
      </c>
    </row>
    <row r="77" spans="1:84" x14ac:dyDescent="0.2">
      <c r="A77" s="225">
        <f ca="1">TblConstr[[#This Row],[Land]]</f>
        <v>250</v>
      </c>
      <c r="B77" s="145"/>
      <c r="C77" s="97">
        <f ca="1">TblProd[[#This Row],[Platinum]]</f>
        <v>409889</v>
      </c>
      <c r="D77" s="97">
        <f ca="1">TblProd[[#This Row],[Lumber]]</f>
        <v>46925</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44874.04166666649</v>
      </c>
      <c r="M77" s="62">
        <f>IF(ISERROR(TblImps[[#This Row],[algorithm]]),0,TblImps[[#This Row],[algorithm]]*1)</f>
        <v>0</v>
      </c>
      <c r="N77" s="97">
        <f ca="1">TblImps[[#This Row],[Land]]</f>
        <v>250</v>
      </c>
      <c r="O77" s="308" t="s">
        <v>4</v>
      </c>
      <c r="P77" s="309"/>
      <c r="Q77" s="308" t="s">
        <v>216</v>
      </c>
      <c r="R77" s="308" t="s">
        <v>7</v>
      </c>
      <c r="S77" s="309"/>
      <c r="T77" s="308" t="s">
        <v>216</v>
      </c>
      <c r="U77" s="308" t="s">
        <v>3</v>
      </c>
      <c r="V77" s="309"/>
      <c r="W77" s="308" t="s">
        <v>216</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44874.04166666649</v>
      </c>
      <c r="BZ77" s="317">
        <f ca="1">OFFSET(TblImps[[#This Row],[Servertime]],-1,0)+1/24</f>
        <v>44874.04166666649</v>
      </c>
      <c r="CA77" s="57"/>
      <c r="CB77" s="315"/>
      <c r="CC77" s="315"/>
    </row>
    <row r="78" spans="1:84" x14ac:dyDescent="0.2">
      <c r="A78" s="225">
        <f ca="1">TblConstr[[#This Row],[Land]]</f>
        <v>250</v>
      </c>
      <c r="B78" s="145"/>
      <c r="C78" s="97">
        <f ca="1">TblProd[[#This Row],[Platinum]]</f>
        <v>415375</v>
      </c>
      <c r="D78" s="97">
        <f ca="1">TblProd[[#This Row],[Lumber]]</f>
        <v>47456</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44874.083333333154</v>
      </c>
      <c r="M78" s="62">
        <f>IF(ISERROR(TblImps[[#This Row],[algorithm]]),0,TblImps[[#This Row],[algorithm]]*1)</f>
        <v>0</v>
      </c>
      <c r="N78" s="97">
        <f ca="1">TblImps[[#This Row],[Land]]</f>
        <v>250</v>
      </c>
      <c r="O78" s="308" t="s">
        <v>4</v>
      </c>
      <c r="P78" s="309"/>
      <c r="Q78" s="308" t="s">
        <v>216</v>
      </c>
      <c r="R78" s="308" t="s">
        <v>7</v>
      </c>
      <c r="S78" s="309"/>
      <c r="T78" s="308" t="s">
        <v>216</v>
      </c>
      <c r="U78" s="308" t="s">
        <v>3</v>
      </c>
      <c r="V78" s="309"/>
      <c r="W78" s="308" t="s">
        <v>216</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44874.083333333154</v>
      </c>
      <c r="BZ78" s="317">
        <f ca="1">OFFSET(TblImps[[#This Row],[Servertime]],-1,0)+1/24</f>
        <v>44874.083333333154</v>
      </c>
      <c r="CA78" s="57"/>
      <c r="CB78" s="315"/>
      <c r="CC78" s="315"/>
      <c r="CF78" s="318"/>
    </row>
    <row r="79" spans="1:84" x14ac:dyDescent="0.2">
      <c r="A79" s="225">
        <f ca="1">TblConstr[[#This Row],[Land]]</f>
        <v>250</v>
      </c>
      <c r="B79" s="145"/>
      <c r="C79" s="97">
        <f ca="1">TblProd[[#This Row],[Platinum]]</f>
        <v>420861</v>
      </c>
      <c r="D79" s="97">
        <f ca="1">TblProd[[#This Row],[Lumber]]</f>
        <v>47981</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44874.124999999818</v>
      </c>
      <c r="M79" s="62">
        <f>IF(ISERROR(TblImps[[#This Row],[algorithm]]),0,TblImps[[#This Row],[algorithm]]*1)</f>
        <v>0</v>
      </c>
      <c r="N79" s="97">
        <f ca="1">TblImps[[#This Row],[Land]]</f>
        <v>250</v>
      </c>
      <c r="O79" s="308" t="s">
        <v>4</v>
      </c>
      <c r="P79" s="309"/>
      <c r="Q79" s="308" t="s">
        <v>216</v>
      </c>
      <c r="R79" s="308" t="s">
        <v>7</v>
      </c>
      <c r="S79" s="309"/>
      <c r="T79" s="308" t="s">
        <v>216</v>
      </c>
      <c r="U79" s="308" t="s">
        <v>3</v>
      </c>
      <c r="V79" s="309"/>
      <c r="W79" s="308" t="s">
        <v>216</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44874.124999999818</v>
      </c>
      <c r="BZ79" s="317">
        <f ca="1">OFFSET(TblImps[[#This Row],[Servertime]],-1,0)+1/24</f>
        <v>44874.124999999818</v>
      </c>
      <c r="CA79" s="57"/>
      <c r="CB79" s="315"/>
      <c r="CC79" s="315"/>
      <c r="CF79" s="319"/>
    </row>
    <row r="80" spans="1:84" x14ac:dyDescent="0.2">
      <c r="A80" s="225">
        <f ca="1">TblConstr[[#This Row],[Land]]</f>
        <v>250</v>
      </c>
      <c r="B80" s="145"/>
      <c r="C80" s="97">
        <f ca="1">TblProd[[#This Row],[Platinum]]</f>
        <v>426347</v>
      </c>
      <c r="D80" s="97">
        <f ca="1">TblProd[[#This Row],[Lumber]]</f>
        <v>48501</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44874.166666666482</v>
      </c>
      <c r="M80" s="62">
        <f>IF(ISERROR(TblImps[[#This Row],[algorithm]]),0,TblImps[[#This Row],[algorithm]]*1)</f>
        <v>0</v>
      </c>
      <c r="N80" s="97">
        <f ca="1">TblImps[[#This Row],[Land]]</f>
        <v>250</v>
      </c>
      <c r="O80" s="308" t="s">
        <v>4</v>
      </c>
      <c r="P80" s="309"/>
      <c r="Q80" s="308" t="s">
        <v>216</v>
      </c>
      <c r="R80" s="308" t="s">
        <v>7</v>
      </c>
      <c r="S80" s="309"/>
      <c r="T80" s="308" t="s">
        <v>216</v>
      </c>
      <c r="U80" s="308" t="s">
        <v>3</v>
      </c>
      <c r="V80" s="309"/>
      <c r="W80" s="308" t="s">
        <v>216</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44874.166666666482</v>
      </c>
      <c r="BZ80" s="317">
        <f ca="1">OFFSET(TblImps[[#This Row],[Servertime]],-1,0)+1/24</f>
        <v>44874.166666666482</v>
      </c>
      <c r="CA80" s="57"/>
      <c r="CB80" s="315"/>
      <c r="CC80" s="315"/>
      <c r="CF80" s="318"/>
    </row>
    <row r="81" spans="1:84" x14ac:dyDescent="0.2">
      <c r="A81" s="225">
        <f ca="1">TblConstr[[#This Row],[Land]]</f>
        <v>250</v>
      </c>
      <c r="B81" s="145"/>
      <c r="C81" s="97">
        <f ca="1">TblProd[[#This Row],[Platinum]]</f>
        <v>431833</v>
      </c>
      <c r="D81" s="97">
        <f ca="1">TblProd[[#This Row],[Lumber]]</f>
        <v>49016</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44874.208333333147</v>
      </c>
      <c r="M81" s="62">
        <f>IF(ISERROR(TblImps[[#This Row],[algorithm]]),0,TblImps[[#This Row],[algorithm]]*1)</f>
        <v>0</v>
      </c>
      <c r="N81" s="97">
        <f ca="1">TblImps[[#This Row],[Land]]</f>
        <v>250</v>
      </c>
      <c r="O81" s="308" t="s">
        <v>4</v>
      </c>
      <c r="P81" s="309"/>
      <c r="Q81" s="308" t="s">
        <v>216</v>
      </c>
      <c r="R81" s="308" t="s">
        <v>7</v>
      </c>
      <c r="S81" s="309"/>
      <c r="T81" s="308" t="s">
        <v>216</v>
      </c>
      <c r="U81" s="308" t="s">
        <v>3</v>
      </c>
      <c r="V81" s="309"/>
      <c r="W81" s="308" t="s">
        <v>216</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44874.208333333147</v>
      </c>
      <c r="BZ81" s="317">
        <f ca="1">OFFSET(TblImps[[#This Row],[Servertime]],-1,0)+1/24</f>
        <v>44874.208333333147</v>
      </c>
      <c r="CA81" s="57"/>
      <c r="CB81" s="315"/>
      <c r="CC81" s="315"/>
      <c r="CF81" s="318"/>
    </row>
    <row r="82" spans="1:84" x14ac:dyDescent="0.2">
      <c r="A82" s="225">
        <f ca="1">TblConstr[[#This Row],[Land]]</f>
        <v>250</v>
      </c>
      <c r="B82" s="145"/>
      <c r="C82" s="97">
        <f ca="1">TblProd[[#This Row],[Platinum]]</f>
        <v>437319</v>
      </c>
      <c r="D82" s="97">
        <f ca="1">TblProd[[#This Row],[Lumber]]</f>
        <v>49526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44874.249999999811</v>
      </c>
      <c r="M82" s="62">
        <f>IF(ISERROR(TblImps[[#This Row],[algorithm]]),0,TblImps[[#This Row],[algorithm]]*1)</f>
        <v>0</v>
      </c>
      <c r="N82" s="97">
        <f ca="1">TblImps[[#This Row],[Land]]</f>
        <v>250</v>
      </c>
      <c r="O82" s="308" t="s">
        <v>4</v>
      </c>
      <c r="P82" s="309"/>
      <c r="Q82" s="308" t="s">
        <v>216</v>
      </c>
      <c r="R82" s="308" t="s">
        <v>7</v>
      </c>
      <c r="S82" s="309"/>
      <c r="T82" s="308" t="s">
        <v>216</v>
      </c>
      <c r="U82" s="308" t="s">
        <v>3</v>
      </c>
      <c r="V82" s="309"/>
      <c r="W82" s="308" t="s">
        <v>216</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44874.249999999811</v>
      </c>
      <c r="BZ82" s="317">
        <f ca="1">OFFSET(TblImps[[#This Row],[Servertime]],-1,0)+1/24</f>
        <v>44874.249999999811</v>
      </c>
      <c r="CA82" s="57"/>
      <c r="CB82" s="315"/>
      <c r="CC82" s="315"/>
    </row>
    <row r="83" spans="1:84" x14ac:dyDescent="0.2">
      <c r="A83" s="225">
        <f ca="1">TblConstr[[#This Row],[Land]]</f>
        <v>250</v>
      </c>
      <c r="B83" s="145"/>
      <c r="C83" s="97">
        <f ca="1">TblProd[[#This Row],[Platinum]]</f>
        <v>442805</v>
      </c>
      <c r="D83" s="97">
        <f ca="1">TblProd[[#This Row],[Lumber]]</f>
        <v>50031</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44874.291666666475</v>
      </c>
      <c r="M83" s="62">
        <f>IF(ISERROR(TblImps[[#This Row],[algorithm]]),0,TblImps[[#This Row],[algorithm]]*1)</f>
        <v>0</v>
      </c>
      <c r="N83" s="97">
        <f ca="1">TblImps[[#This Row],[Land]]</f>
        <v>250</v>
      </c>
      <c r="O83" s="308" t="s">
        <v>4</v>
      </c>
      <c r="P83" s="309"/>
      <c r="Q83" s="308" t="s">
        <v>216</v>
      </c>
      <c r="R83" s="308" t="s">
        <v>7</v>
      </c>
      <c r="S83" s="309"/>
      <c r="T83" s="308" t="s">
        <v>216</v>
      </c>
      <c r="U83" s="308" t="s">
        <v>3</v>
      </c>
      <c r="V83" s="309"/>
      <c r="W83" s="308" t="s">
        <v>216</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44874.291666666475</v>
      </c>
      <c r="BZ83" s="317">
        <f ca="1">OFFSET(TblImps[[#This Row],[Servertime]],-1,0)+1/24</f>
        <v>44874.291666666475</v>
      </c>
      <c r="CA83" s="57"/>
      <c r="CB83" s="315"/>
      <c r="CC83" s="315"/>
    </row>
    <row r="84" spans="1:84" x14ac:dyDescent="0.2">
      <c r="A84" s="225">
        <f ca="1">TblConstr[[#This Row],[Land]]</f>
        <v>250</v>
      </c>
      <c r="B84" s="145"/>
      <c r="C84" s="97">
        <f ca="1">TblProd[[#This Row],[Platinum]]</f>
        <v>448291</v>
      </c>
      <c r="D84" s="97">
        <f ca="1">TblProd[[#This Row],[Lumber]]</f>
        <v>50531</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44874.333333333139</v>
      </c>
      <c r="M84" s="62">
        <f>IF(ISERROR(TblImps[[#This Row],[algorithm]]),0,TblImps[[#This Row],[algorithm]]*1)</f>
        <v>0</v>
      </c>
      <c r="N84" s="97">
        <f ca="1">TblImps[[#This Row],[Land]]</f>
        <v>250</v>
      </c>
      <c r="O84" s="308" t="s">
        <v>4</v>
      </c>
      <c r="P84" s="309"/>
      <c r="Q84" s="308" t="s">
        <v>216</v>
      </c>
      <c r="R84" s="308" t="s">
        <v>7</v>
      </c>
      <c r="S84" s="309"/>
      <c r="T84" s="308" t="s">
        <v>216</v>
      </c>
      <c r="U84" s="308" t="s">
        <v>3</v>
      </c>
      <c r="V84" s="309"/>
      <c r="W84" s="308" t="s">
        <v>216</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44874.333333333139</v>
      </c>
      <c r="BZ84" s="317">
        <f ca="1">OFFSET(TblImps[[#This Row],[Servertime]],-1,0)+1/24</f>
        <v>44874.333333333139</v>
      </c>
      <c r="CA84" s="57"/>
      <c r="CB84" s="315"/>
      <c r="CC84" s="315"/>
    </row>
    <row r="85" spans="1:84" x14ac:dyDescent="0.2">
      <c r="A85" s="225">
        <f ca="1">TblConstr[[#This Row],[Land]]</f>
        <v>250</v>
      </c>
      <c r="B85" s="145"/>
      <c r="C85" s="97">
        <f ca="1">TblProd[[#This Row],[Platinum]]</f>
        <v>453777</v>
      </c>
      <c r="D85" s="97">
        <f ca="1">TblProd[[#This Row],[Lumber]]</f>
        <v>51026</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44874.374999999804</v>
      </c>
      <c r="M85" s="62">
        <f>IF(ISERROR(TblImps[[#This Row],[algorithm]]),0,TblImps[[#This Row],[algorithm]]*1)</f>
        <v>0</v>
      </c>
      <c r="N85" s="97">
        <f ca="1">TblImps[[#This Row],[Land]]</f>
        <v>250</v>
      </c>
      <c r="O85" s="308" t="s">
        <v>4</v>
      </c>
      <c r="P85" s="309"/>
      <c r="Q85" s="308" t="s">
        <v>216</v>
      </c>
      <c r="R85" s="308" t="s">
        <v>7</v>
      </c>
      <c r="S85" s="309"/>
      <c r="T85" s="308" t="s">
        <v>216</v>
      </c>
      <c r="U85" s="308" t="s">
        <v>3</v>
      </c>
      <c r="V85" s="309"/>
      <c r="W85" s="308" t="s">
        <v>216</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44874.374999999804</v>
      </c>
      <c r="BZ85" s="317">
        <f ca="1">OFFSET(TblImps[[#This Row],[Servertime]],-1,0)+1/24</f>
        <v>44874.374999999804</v>
      </c>
      <c r="CA85" s="57"/>
      <c r="CB85" s="315"/>
      <c r="CC85" s="315"/>
    </row>
    <row r="86" spans="1:84" x14ac:dyDescent="0.2">
      <c r="A86" s="225">
        <f ca="1">TblConstr[[#This Row],[Land]]</f>
        <v>250</v>
      </c>
      <c r="B86" s="145"/>
      <c r="C86" s="97">
        <f ca="1">TblProd[[#This Row],[Platinum]]</f>
        <v>459263</v>
      </c>
      <c r="D86" s="97">
        <f ca="1">TblProd[[#This Row],[Lumber]]</f>
        <v>51516</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44874.416666666468</v>
      </c>
      <c r="M86" s="62">
        <f>IF(ISERROR(TblImps[[#This Row],[algorithm]]),0,TblImps[[#This Row],[algorithm]]*1)</f>
        <v>0</v>
      </c>
      <c r="N86" s="97">
        <f ca="1">TblImps[[#This Row],[Land]]</f>
        <v>250</v>
      </c>
      <c r="O86" s="308" t="s">
        <v>4</v>
      </c>
      <c r="P86" s="309"/>
      <c r="Q86" s="308" t="s">
        <v>216</v>
      </c>
      <c r="R86" s="308" t="s">
        <v>7</v>
      </c>
      <c r="S86" s="309"/>
      <c r="T86" s="308" t="s">
        <v>216</v>
      </c>
      <c r="U86" s="308" t="s">
        <v>3</v>
      </c>
      <c r="V86" s="309"/>
      <c r="W86" s="308" t="s">
        <v>216</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44874.416666666468</v>
      </c>
      <c r="BZ86" s="317">
        <f ca="1">OFFSET(TblImps[[#This Row],[Servertime]],-1,0)+1/24</f>
        <v>44874.416666666468</v>
      </c>
      <c r="CA86" s="57"/>
      <c r="CB86" s="315"/>
      <c r="CC86" s="315"/>
    </row>
    <row r="87" spans="1:84" x14ac:dyDescent="0.2">
      <c r="A87" s="225">
        <f ca="1">TblConstr[[#This Row],[Land]]</f>
        <v>250</v>
      </c>
      <c r="B87" s="145"/>
      <c r="C87" s="97">
        <f ca="1">TblProd[[#This Row],[Platinum]]</f>
        <v>464749</v>
      </c>
      <c r="D87" s="97">
        <f ca="1">TblProd[[#This Row],[Lumber]]</f>
        <v>52001</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44874.458333333132</v>
      </c>
      <c r="M87" s="62">
        <f>IF(ISERROR(TblImps[[#This Row],[algorithm]]),0,TblImps[[#This Row],[algorithm]]*1)</f>
        <v>0</v>
      </c>
      <c r="N87" s="97">
        <f ca="1">TblImps[[#This Row],[Land]]</f>
        <v>250</v>
      </c>
      <c r="O87" s="308" t="s">
        <v>4</v>
      </c>
      <c r="P87" s="309"/>
      <c r="Q87" s="308" t="s">
        <v>216</v>
      </c>
      <c r="R87" s="308" t="s">
        <v>7</v>
      </c>
      <c r="S87" s="309"/>
      <c r="T87" s="308" t="s">
        <v>216</v>
      </c>
      <c r="U87" s="308" t="s">
        <v>3</v>
      </c>
      <c r="V87" s="309"/>
      <c r="W87" s="308" t="s">
        <v>216</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44874.458333333132</v>
      </c>
      <c r="BZ87" s="317">
        <f ca="1">OFFSET(TblImps[[#This Row],[Servertime]],-1,0)+1/24</f>
        <v>44874.458333333132</v>
      </c>
      <c r="CA87" s="57"/>
      <c r="CB87" s="315"/>
      <c r="CC87" s="315"/>
    </row>
    <row r="88" spans="1:84" x14ac:dyDescent="0.2">
      <c r="A88" s="225">
        <f ca="1">TblConstr[[#This Row],[Land]]</f>
        <v>250</v>
      </c>
      <c r="B88" s="145"/>
      <c r="C88" s="97">
        <f ca="1">TblProd[[#This Row],[Platinum]]</f>
        <v>470235</v>
      </c>
      <c r="D88" s="97">
        <f ca="1">TblProd[[#This Row],[Lumber]]</f>
        <v>52481</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44874.499999999796</v>
      </c>
      <c r="M88" s="62">
        <f>IF(ISERROR(TblImps[[#This Row],[algorithm]]),0,TblImps[[#This Row],[algorithm]]*1)</f>
        <v>0</v>
      </c>
      <c r="N88" s="97">
        <f ca="1">TblImps[[#This Row],[Land]]</f>
        <v>250</v>
      </c>
      <c r="O88" s="308" t="s">
        <v>4</v>
      </c>
      <c r="P88" s="309"/>
      <c r="Q88" s="308" t="s">
        <v>216</v>
      </c>
      <c r="R88" s="308" t="s">
        <v>7</v>
      </c>
      <c r="S88" s="309"/>
      <c r="T88" s="308" t="s">
        <v>216</v>
      </c>
      <c r="U88" s="308" t="s">
        <v>3</v>
      </c>
      <c r="V88" s="309"/>
      <c r="W88" s="308" t="s">
        <v>216</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44874.499999999796</v>
      </c>
      <c r="BZ88" s="317">
        <f ca="1">OFFSET(TblImps[[#This Row],[Servertime]],-1,0)+1/24</f>
        <v>44874.499999999796</v>
      </c>
      <c r="CA88" s="57"/>
      <c r="CB88" s="315"/>
      <c r="CC88" s="315"/>
    </row>
    <row r="89" spans="1:84" x14ac:dyDescent="0.2">
      <c r="A89" s="225">
        <f ca="1">TblConstr[[#This Row],[Land]]</f>
        <v>250</v>
      </c>
      <c r="B89" s="145"/>
      <c r="C89" s="97">
        <f ca="1">TblProd[[#This Row],[Platinum]]</f>
        <v>475721</v>
      </c>
      <c r="D89" s="97">
        <f ca="1">TblProd[[#This Row],[Lumber]]</f>
        <v>52956</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44874.541666666461</v>
      </c>
      <c r="M89" s="62">
        <f>IF(ISERROR(TblImps[[#This Row],[algorithm]]),0,TblImps[[#This Row],[algorithm]]*1)</f>
        <v>0</v>
      </c>
      <c r="N89" s="97">
        <f ca="1">TblImps[[#This Row],[Land]]</f>
        <v>250</v>
      </c>
      <c r="O89" s="308" t="s">
        <v>2</v>
      </c>
      <c r="P89" s="309"/>
      <c r="Q89" s="308" t="s">
        <v>216</v>
      </c>
      <c r="R89" s="308" t="s">
        <v>7</v>
      </c>
      <c r="S89" s="309"/>
      <c r="T89" s="308" t="s">
        <v>216</v>
      </c>
      <c r="U89" s="308" t="s">
        <v>3</v>
      </c>
      <c r="V89" s="309"/>
      <c r="W89" s="308" t="s">
        <v>216</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44874.541666666461</v>
      </c>
      <c r="BZ89" s="317">
        <f ca="1">OFFSET(TblImps[[#This Row],[Servertime]],-1,0)+1/24</f>
        <v>44874.541666666461</v>
      </c>
      <c r="CA89" s="57"/>
      <c r="CB89" s="315"/>
      <c r="CC89" s="315"/>
      <c r="CD89" s="162"/>
    </row>
    <row r="90" spans="1:84" x14ac:dyDescent="0.2">
      <c r="A90" s="225">
        <f ca="1">TblConstr[[#This Row],[Land]]</f>
        <v>250</v>
      </c>
      <c r="B90" s="145"/>
      <c r="C90" s="97">
        <f ca="1">TblProd[[#This Row],[Platinum]]</f>
        <v>481207</v>
      </c>
      <c r="D90" s="97">
        <f ca="1">TblProd[[#This Row],[Lumber]]</f>
        <v>53426</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44874.583333333125</v>
      </c>
      <c r="M90" s="62">
        <f>IF(ISERROR(TblImps[[#This Row],[algorithm]]),0,TblImps[[#This Row],[algorithm]]*1)</f>
        <v>0</v>
      </c>
      <c r="N90" s="97">
        <f ca="1">TblImps[[#This Row],[Land]]</f>
        <v>250</v>
      </c>
      <c r="O90" s="308" t="s">
        <v>4</v>
      </c>
      <c r="P90" s="309"/>
      <c r="Q90" s="308" t="s">
        <v>216</v>
      </c>
      <c r="R90" s="308" t="s">
        <v>7</v>
      </c>
      <c r="S90" s="309"/>
      <c r="T90" s="308" t="s">
        <v>216</v>
      </c>
      <c r="U90" s="308" t="s">
        <v>3</v>
      </c>
      <c r="V90" s="309"/>
      <c r="W90" s="308" t="s">
        <v>216</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44874.583333333125</v>
      </c>
      <c r="BZ90" s="317">
        <f ca="1">OFFSET(TblImps[[#This Row],[Servertime]],-1,0)+1/24</f>
        <v>44874.583333333125</v>
      </c>
      <c r="CA90" s="320"/>
      <c r="CB90" s="315"/>
      <c r="CC90" s="315"/>
      <c r="CF90" s="318"/>
    </row>
    <row r="91" spans="1:84" x14ac:dyDescent="0.2">
      <c r="A91" s="225">
        <f ca="1">TblConstr[[#This Row],[Land]]</f>
        <v>250</v>
      </c>
      <c r="B91" s="145"/>
      <c r="C91" s="97">
        <f ca="1">TblProd[[#This Row],[Platinum]]</f>
        <v>486693</v>
      </c>
      <c r="D91" s="97">
        <f ca="1">TblProd[[#This Row],[Lumber]]</f>
        <v>53892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44874.624999999789</v>
      </c>
      <c r="M91" s="62">
        <f>IF(ISERROR(TblImps[[#This Row],[algorithm]]),0,TblImps[[#This Row],[algorithm]]*1)</f>
        <v>0</v>
      </c>
      <c r="N91" s="97">
        <f ca="1">TblImps[[#This Row],[Land]]</f>
        <v>250</v>
      </c>
      <c r="O91" s="308" t="s">
        <v>4</v>
      </c>
      <c r="P91" s="309"/>
      <c r="Q91" s="308" t="s">
        <v>216</v>
      </c>
      <c r="R91" s="308" t="s">
        <v>7</v>
      </c>
      <c r="S91" s="309"/>
      <c r="T91" s="308" t="s">
        <v>216</v>
      </c>
      <c r="U91" s="308" t="s">
        <v>3</v>
      </c>
      <c r="V91" s="309"/>
      <c r="W91" s="308" t="s">
        <v>216</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44874.624999999789</v>
      </c>
      <c r="BZ91" s="317">
        <f ca="1">OFFSET(TblImps[[#This Row],[Servertime]],-1,0)+1/24</f>
        <v>44874.624999999789</v>
      </c>
      <c r="CA91" s="57"/>
      <c r="CB91" s="315"/>
      <c r="CC91" s="315"/>
      <c r="CF91" s="319"/>
    </row>
    <row r="92" spans="1:84" x14ac:dyDescent="0.2">
      <c r="A92" s="225">
        <f ca="1">TblConstr[[#This Row],[Land]]</f>
        <v>250</v>
      </c>
      <c r="B92" s="145"/>
      <c r="C92" s="97">
        <f ca="1">TblProd[[#This Row],[Platinum]]</f>
        <v>492179</v>
      </c>
      <c r="D92" s="97">
        <f ca="1">TblProd[[#This Row],[Lumber]]</f>
        <v>54353</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44874.666666666453</v>
      </c>
      <c r="M92" s="62">
        <f>IF(ISERROR(TblImps[[#This Row],[algorithm]]),0,TblImps[[#This Row],[algorithm]]*1)</f>
        <v>0</v>
      </c>
      <c r="N92" s="97">
        <f ca="1">TblImps[[#This Row],[Land]]</f>
        <v>250</v>
      </c>
      <c r="O92" s="308" t="s">
        <v>4</v>
      </c>
      <c r="P92" s="309"/>
      <c r="Q92" s="308" t="s">
        <v>216</v>
      </c>
      <c r="R92" s="308" t="s">
        <v>7</v>
      </c>
      <c r="S92" s="309"/>
      <c r="T92" s="308" t="s">
        <v>216</v>
      </c>
      <c r="U92" s="308" t="s">
        <v>3</v>
      </c>
      <c r="V92" s="309"/>
      <c r="W92" s="308" t="s">
        <v>216</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44874.666666666453</v>
      </c>
      <c r="BZ92" s="317">
        <f ca="1">OFFSET(TblImps[[#This Row],[Servertime]],-1,0)+1/24</f>
        <v>44874.666666666453</v>
      </c>
      <c r="CA92" s="57"/>
      <c r="CB92" s="315"/>
      <c r="CC92" s="315"/>
      <c r="CF92" s="318"/>
    </row>
    <row r="93" spans="1:84" x14ac:dyDescent="0.2">
      <c r="A93" s="225">
        <f ca="1">TblConstr[[#This Row],[Land]]</f>
        <v>250</v>
      </c>
      <c r="B93" s="145"/>
      <c r="C93" s="97">
        <f ca="1">TblProd[[#This Row],[Platinum]]</f>
        <v>497665</v>
      </c>
      <c r="D93" s="97">
        <f ca="1">TblProd[[#This Row],[Lumber]]</f>
        <v>54809</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44874.708333333117</v>
      </c>
      <c r="M93" s="62">
        <f>IF(ISERROR(TblImps[[#This Row],[algorithm]]),0,TblImps[[#This Row],[algorithm]]*1)</f>
        <v>0</v>
      </c>
      <c r="N93" s="97">
        <f ca="1">TblImps[[#This Row],[Land]]</f>
        <v>250</v>
      </c>
      <c r="O93" s="308" t="s">
        <v>4</v>
      </c>
      <c r="P93" s="309"/>
      <c r="Q93" s="308" t="s">
        <v>216</v>
      </c>
      <c r="R93" s="308" t="s">
        <v>7</v>
      </c>
      <c r="S93" s="309"/>
      <c r="T93" s="308" t="s">
        <v>216</v>
      </c>
      <c r="U93" s="308" t="s">
        <v>3</v>
      </c>
      <c r="V93" s="309"/>
      <c r="W93" s="308" t="s">
        <v>216</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44874.708333333117</v>
      </c>
      <c r="BZ93" s="317">
        <f ca="1">OFFSET(TblImps[[#This Row],[Servertime]],-1,0)+1/24</f>
        <v>44874.708333333117</v>
      </c>
      <c r="CA93" s="57"/>
      <c r="CB93" s="315"/>
      <c r="CC93" s="315"/>
      <c r="CF93" s="318"/>
    </row>
    <row r="94" spans="1:84" x14ac:dyDescent="0.2">
      <c r="A94" s="225">
        <f ca="1">TblConstr[[#This Row],[Land]]</f>
        <v>250</v>
      </c>
      <c r="B94" s="145"/>
      <c r="C94" s="97">
        <f ca="1">TblProd[[#This Row],[Platinum]]</f>
        <v>503151</v>
      </c>
      <c r="D94" s="97">
        <f ca="1">TblProd[[#This Row],[Lumber]]</f>
        <v>55261</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44874.749999999782</v>
      </c>
      <c r="M94" s="62">
        <f>IF(ISERROR(TblImps[[#This Row],[algorithm]]),0,TblImps[[#This Row],[algorithm]]*1)</f>
        <v>0</v>
      </c>
      <c r="N94" s="97">
        <f ca="1">TblImps[[#This Row],[Land]]</f>
        <v>250</v>
      </c>
      <c r="O94" s="308" t="s">
        <v>4</v>
      </c>
      <c r="P94" s="309"/>
      <c r="Q94" s="308" t="s">
        <v>216</v>
      </c>
      <c r="R94" s="308" t="s">
        <v>7</v>
      </c>
      <c r="S94" s="309"/>
      <c r="T94" s="308" t="s">
        <v>216</v>
      </c>
      <c r="U94" s="308" t="s">
        <v>3</v>
      </c>
      <c r="V94" s="309"/>
      <c r="W94" s="308" t="s">
        <v>216</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44874.749999999782</v>
      </c>
      <c r="BZ94" s="317">
        <f ca="1">OFFSET(TblImps[[#This Row],[Servertime]],-1,0)+1/24</f>
        <v>44874.749999999782</v>
      </c>
      <c r="CA94" s="57"/>
      <c r="CB94" s="315"/>
      <c r="CC94" s="315"/>
    </row>
    <row r="95" spans="1:84" x14ac:dyDescent="0.2">
      <c r="A95" s="225">
        <f ca="1">TblConstr[[#This Row],[Land]]</f>
        <v>250</v>
      </c>
      <c r="B95" s="145"/>
      <c r="C95" s="97">
        <f ca="1">TblProd[[#This Row],[Platinum]]</f>
        <v>508637</v>
      </c>
      <c r="D95" s="97">
        <f ca="1">TblProd[[#This Row],[Lumber]]</f>
        <v>55708</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44874.791666666446</v>
      </c>
      <c r="M95" s="62">
        <f>IF(ISERROR(TblImps[[#This Row],[algorithm]]),0,TblImps[[#This Row],[algorithm]]*1)</f>
        <v>0</v>
      </c>
      <c r="N95" s="97">
        <f ca="1">TblImps[[#This Row],[Land]]</f>
        <v>250</v>
      </c>
      <c r="O95" s="308" t="s">
        <v>4</v>
      </c>
      <c r="P95" s="309"/>
      <c r="Q95" s="308" t="s">
        <v>216</v>
      </c>
      <c r="R95" s="308" t="s">
        <v>7</v>
      </c>
      <c r="S95" s="309"/>
      <c r="T95" s="308" t="s">
        <v>216</v>
      </c>
      <c r="U95" s="308" t="s">
        <v>3</v>
      </c>
      <c r="V95" s="309"/>
      <c r="W95" s="308" t="s">
        <v>216</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44874.791666666446</v>
      </c>
      <c r="BZ95" s="317">
        <f ca="1">OFFSET(TblImps[[#This Row],[Servertime]],-1,0)+1/24</f>
        <v>44874.791666666446</v>
      </c>
      <c r="CA95" s="57"/>
      <c r="CB95" s="315"/>
      <c r="CC95" s="315"/>
    </row>
    <row r="96" spans="1:84" x14ac:dyDescent="0.2">
      <c r="A96" s="225">
        <f ca="1">TblConstr[[#This Row],[Land]]</f>
        <v>250</v>
      </c>
      <c r="B96" s="145"/>
      <c r="C96" s="97">
        <f ca="1">TblProd[[#This Row],[Platinum]]</f>
        <v>514123</v>
      </c>
      <c r="D96" s="97">
        <f ca="1">TblProd[[#This Row],[Lumber]]</f>
        <v>56151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44874.83333333311</v>
      </c>
      <c r="M96" s="62">
        <f>IF(ISERROR(TblImps[[#This Row],[algorithm]]),0,TblImps[[#This Row],[algorithm]]*1)</f>
        <v>0</v>
      </c>
      <c r="N96" s="97">
        <f ca="1">TblImps[[#This Row],[Land]]</f>
        <v>250</v>
      </c>
      <c r="O96" s="308" t="s">
        <v>4</v>
      </c>
      <c r="P96" s="309"/>
      <c r="Q96" s="308" t="s">
        <v>216</v>
      </c>
      <c r="R96" s="308" t="s">
        <v>7</v>
      </c>
      <c r="S96" s="309"/>
      <c r="T96" s="308" t="s">
        <v>216</v>
      </c>
      <c r="U96" s="308" t="s">
        <v>3</v>
      </c>
      <c r="V96" s="309"/>
      <c r="W96" s="308" t="s">
        <v>216</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44874.83333333311</v>
      </c>
      <c r="BZ96" s="317">
        <f ca="1">OFFSET(TblImps[[#This Row],[Servertime]],-1,0)+1/24</f>
        <v>44874.83333333311</v>
      </c>
      <c r="CA96" s="57"/>
      <c r="CB96" s="315"/>
      <c r="CC96" s="315"/>
    </row>
    <row r="97" spans="1:82" x14ac:dyDescent="0.2">
      <c r="A97" s="225">
        <f ca="1">TblConstr[[#This Row],[Land]]</f>
        <v>250</v>
      </c>
      <c r="B97" s="145"/>
      <c r="C97" s="97">
        <f ca="1">TblProd[[#This Row],[Platinum]]</f>
        <v>519609</v>
      </c>
      <c r="D97" s="97">
        <f ca="1">TblProd[[#This Row],[Lumber]]</f>
        <v>56589</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44874.874999999774</v>
      </c>
      <c r="M97" s="62">
        <f>IF(ISERROR(TblImps[[#This Row],[algorithm]]),0,TblImps[[#This Row],[algorithm]]*1)</f>
        <v>0</v>
      </c>
      <c r="N97" s="97">
        <f ca="1">TblImps[[#This Row],[Land]]</f>
        <v>250</v>
      </c>
      <c r="O97" s="308" t="s">
        <v>4</v>
      </c>
      <c r="P97" s="309"/>
      <c r="Q97" s="308" t="s">
        <v>216</v>
      </c>
      <c r="R97" s="308" t="s">
        <v>7</v>
      </c>
      <c r="S97" s="309"/>
      <c r="T97" s="308" t="s">
        <v>216</v>
      </c>
      <c r="U97" s="308" t="s">
        <v>3</v>
      </c>
      <c r="V97" s="309"/>
      <c r="W97" s="308" t="s">
        <v>216</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44874.874999999774</v>
      </c>
      <c r="BZ97" s="317">
        <f ca="1">OFFSET(TblImps[[#This Row],[Servertime]],-1,0)+1/24</f>
        <v>44874.874999999774</v>
      </c>
      <c r="CA97" s="57"/>
      <c r="CB97" s="315"/>
      <c r="CC97" s="315"/>
    </row>
    <row r="98" spans="1:82" x14ac:dyDescent="0.2">
      <c r="A98" s="225">
        <f ca="1">TblConstr[[#This Row],[Land]]</f>
        <v>250</v>
      </c>
      <c r="B98" s="145"/>
      <c r="C98" s="97">
        <f ca="1">TblProd[[#This Row],[Platinum]]</f>
        <v>525095</v>
      </c>
      <c r="D98" s="97">
        <f ca="1">TblProd[[#This Row],[Lumber]]</f>
        <v>57023</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44874.916666666439</v>
      </c>
      <c r="M98" s="62">
        <f>IF(ISERROR(TblImps[[#This Row],[algorithm]]),0,TblImps[[#This Row],[algorithm]]*1)</f>
        <v>0</v>
      </c>
      <c r="N98" s="97">
        <f ca="1">TblImps[[#This Row],[Land]]</f>
        <v>250</v>
      </c>
      <c r="O98" s="308" t="s">
        <v>4</v>
      </c>
      <c r="P98" s="309"/>
      <c r="Q98" s="308" t="s">
        <v>216</v>
      </c>
      <c r="R98" s="308" t="s">
        <v>7</v>
      </c>
      <c r="S98" s="309"/>
      <c r="T98" s="308" t="s">
        <v>216</v>
      </c>
      <c r="U98" s="308" t="s">
        <v>3</v>
      </c>
      <c r="V98" s="309"/>
      <c r="W98" s="308" t="s">
        <v>216</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44874.916666666439</v>
      </c>
      <c r="BZ98" s="317">
        <f ca="1">OFFSET(TblImps[[#This Row],[Servertime]],-1,0)+1/24</f>
        <v>44874.916666666439</v>
      </c>
      <c r="CA98" s="57"/>
      <c r="CB98" s="315"/>
      <c r="CC98" s="315"/>
    </row>
    <row r="99" spans="1:82" x14ac:dyDescent="0.2">
      <c r="A99" s="225">
        <f ca="1">TblConstr[[#This Row],[Land]]</f>
        <v>250</v>
      </c>
      <c r="B99" s="145"/>
      <c r="C99" s="97">
        <f ca="1">TblProd[[#This Row],[Platinum]]</f>
        <v>530581</v>
      </c>
      <c r="D99" s="97">
        <f ca="1">TblProd[[#This Row],[Lumber]]</f>
        <v>57453</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44874.958333333103</v>
      </c>
      <c r="M99" s="62">
        <f>IF(ISERROR(TblImps[[#This Row],[algorithm]]),0,TblImps[[#This Row],[algorithm]]*1)</f>
        <v>0</v>
      </c>
      <c r="N99" s="97">
        <f ca="1">TblImps[[#This Row],[Land]]</f>
        <v>250</v>
      </c>
      <c r="O99" s="308" t="s">
        <v>4</v>
      </c>
      <c r="P99" s="309"/>
      <c r="Q99" s="308" t="s">
        <v>216</v>
      </c>
      <c r="R99" s="308" t="s">
        <v>7</v>
      </c>
      <c r="S99" s="309"/>
      <c r="T99" s="308" t="s">
        <v>216</v>
      </c>
      <c r="U99" s="308" t="s">
        <v>3</v>
      </c>
      <c r="V99" s="309"/>
      <c r="W99" s="308" t="s">
        <v>216</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44874.958333333103</v>
      </c>
      <c r="BZ99" s="317">
        <f ca="1">OFFSET(TblImps[[#This Row],[Servertime]],-1,0)+1/24</f>
        <v>44874.958333333103</v>
      </c>
      <c r="CA99" s="57"/>
      <c r="CB99" s="315"/>
      <c r="CC99" s="315"/>
    </row>
    <row r="100" spans="1:82" x14ac:dyDescent="0.2">
      <c r="A100" s="225">
        <f ca="1">TblConstr[[#This Row],[Land]]</f>
        <v>250</v>
      </c>
      <c r="B100" s="145"/>
      <c r="C100" s="97">
        <f ca="1">TblProd[[#This Row],[Platinum]]</f>
        <v>536067</v>
      </c>
      <c r="D100" s="97">
        <f ca="1">TblProd[[#This Row],[Lumber]]</f>
        <v>57878</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44874.999999999767</v>
      </c>
      <c r="M100" s="62">
        <f>IF(ISERROR(TblImps[[#This Row],[algorithm]]),0,TblImps[[#This Row],[algorithm]]*1)</f>
        <v>0</v>
      </c>
      <c r="N100" s="97">
        <f ca="1">TblImps[[#This Row],[Land]]</f>
        <v>250</v>
      </c>
      <c r="O100" s="308" t="s">
        <v>4</v>
      </c>
      <c r="P100" s="309"/>
      <c r="Q100" s="308" t="s">
        <v>216</v>
      </c>
      <c r="R100" s="308" t="s">
        <v>7</v>
      </c>
      <c r="S100" s="309"/>
      <c r="T100" s="308" t="s">
        <v>216</v>
      </c>
      <c r="U100" s="308" t="s">
        <v>3</v>
      </c>
      <c r="V100" s="309"/>
      <c r="W100" s="308" t="s">
        <v>216</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44874.999999999767</v>
      </c>
      <c r="BZ100" s="317">
        <f ca="1">OFFSET(TblImps[[#This Row],[Servertime]],-1,0)+1/24</f>
        <v>44874.999999999767</v>
      </c>
      <c r="CA100" s="57"/>
      <c r="CB100" s="315"/>
      <c r="CC100" s="315"/>
    </row>
    <row r="101" spans="1:82" x14ac:dyDescent="0.2">
      <c r="A101" s="225">
        <f ca="1">TblConstr[[#This Row],[Land]]</f>
        <v>250</v>
      </c>
      <c r="B101" s="145"/>
      <c r="C101" s="97">
        <f ca="1">TblProd[[#This Row],[Platinum]]</f>
        <v>541553</v>
      </c>
      <c r="D101" s="97">
        <f ca="1">TblProd[[#This Row],[Lumber]]</f>
        <v>58299</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44875.041666666431</v>
      </c>
      <c r="M101" s="62">
        <f>IF(ISERROR(TblImps[[#This Row],[algorithm]]),0,TblImps[[#This Row],[algorithm]]*1)</f>
        <v>0</v>
      </c>
      <c r="N101" s="97">
        <f ca="1">TblImps[[#This Row],[Land]]</f>
        <v>250</v>
      </c>
      <c r="O101" s="308" t="s">
        <v>4</v>
      </c>
      <c r="P101" s="309"/>
      <c r="Q101" s="308" t="s">
        <v>216</v>
      </c>
      <c r="R101" s="308" t="s">
        <v>7</v>
      </c>
      <c r="S101" s="309"/>
      <c r="T101" s="308" t="s">
        <v>216</v>
      </c>
      <c r="U101" s="308" t="s">
        <v>3</v>
      </c>
      <c r="V101" s="309"/>
      <c r="W101" s="308" t="s">
        <v>216</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44875.041666666431</v>
      </c>
      <c r="BZ101" s="317">
        <f ca="1">OFFSET(TblImps[[#This Row],[Servertime]],-1,0)+1/24</f>
        <v>44875.041666666431</v>
      </c>
      <c r="CA101" s="57"/>
      <c r="CB101" s="315"/>
      <c r="CC101" s="315"/>
    </row>
    <row r="102" spans="1:82" x14ac:dyDescent="0.2">
      <c r="A102" s="225">
        <f ca="1">TblConstr[[#This Row],[Land]]</f>
        <v>250</v>
      </c>
      <c r="B102" s="145"/>
      <c r="C102" s="97">
        <f ca="1">TblProd[[#This Row],[Platinum]]</f>
        <v>547039</v>
      </c>
      <c r="D102" s="97">
        <f ca="1">TblProd[[#This Row],[Lumber]]</f>
        <v>58716</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44875.083333333096</v>
      </c>
      <c r="M102" s="62">
        <f>IF(ISERROR(TblImps[[#This Row],[algorithm]]),0,TblImps[[#This Row],[algorithm]]*1)</f>
        <v>0</v>
      </c>
      <c r="N102" s="97">
        <f ca="1">TblImps[[#This Row],[Land]]</f>
        <v>250</v>
      </c>
      <c r="O102" s="308" t="s">
        <v>4</v>
      </c>
      <c r="P102" s="309"/>
      <c r="Q102" s="308" t="s">
        <v>216</v>
      </c>
      <c r="R102" s="308" t="s">
        <v>7</v>
      </c>
      <c r="S102" s="309"/>
      <c r="T102" s="308" t="s">
        <v>216</v>
      </c>
      <c r="U102" s="308" t="s">
        <v>3</v>
      </c>
      <c r="V102" s="309"/>
      <c r="W102" s="308" t="s">
        <v>216</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44875.083333333096</v>
      </c>
      <c r="BZ102" s="317">
        <f ca="1">OFFSET(TblImps[[#This Row],[Servertime]],-1,0)+1/24</f>
        <v>44875.083333333096</v>
      </c>
      <c r="CA102" s="57"/>
      <c r="CB102" s="315"/>
      <c r="CC102" s="315"/>
      <c r="CD102" s="45" t="s">
        <v>4</v>
      </c>
    </row>
    <row r="103" spans="1:82" x14ac:dyDescent="0.2">
      <c r="A103" s="225">
        <f ca="1">TblConstr[[#This Row],[Land]]</f>
        <v>250</v>
      </c>
      <c r="B103" s="145"/>
      <c r="C103" s="97">
        <f ca="1">TblProd[[#This Row],[Platinum]]</f>
        <v>552525</v>
      </c>
      <c r="D103" s="97">
        <f ca="1">TblProd[[#This Row],[Lumber]]</f>
        <v>59129</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44875.12499999976</v>
      </c>
      <c r="M103" s="62">
        <f>IF(ISERROR(TblImps[[#This Row],[algorithm]]),0,TblImps[[#This Row],[algorithm]]*1)</f>
        <v>0</v>
      </c>
      <c r="N103" s="97">
        <f ca="1">TblImps[[#This Row],[Land]]</f>
        <v>250</v>
      </c>
      <c r="O103" s="308" t="s">
        <v>4</v>
      </c>
      <c r="P103" s="309"/>
      <c r="Q103" s="308" t="s">
        <v>216</v>
      </c>
      <c r="R103" s="308" t="s">
        <v>7</v>
      </c>
      <c r="S103" s="309"/>
      <c r="T103" s="308" t="s">
        <v>216</v>
      </c>
      <c r="U103" s="308" t="s">
        <v>3</v>
      </c>
      <c r="V103" s="309"/>
      <c r="W103" s="308" t="s">
        <v>216</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44875.12499999976</v>
      </c>
      <c r="BZ103" s="317">
        <f ca="1">OFFSET(TblImps[[#This Row],[Servertime]],-1,0)+1/24</f>
        <v>44875.12499999976</v>
      </c>
      <c r="CA103" s="57"/>
      <c r="CB103" s="315"/>
      <c r="CC103" s="315"/>
      <c r="CD103" s="45" t="s">
        <v>7</v>
      </c>
    </row>
    <row r="104" spans="1:82" x14ac:dyDescent="0.2">
      <c r="A104" s="225">
        <f ca="1">TblConstr[[#This Row],[Land]]</f>
        <v>250</v>
      </c>
      <c r="B104" s="145"/>
      <c r="C104" s="97">
        <f ca="1">TblProd[[#This Row],[Platinum]]</f>
        <v>558011</v>
      </c>
      <c r="D104" s="97">
        <f ca="1">TblProd[[#This Row],[Lumber]]</f>
        <v>59538</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44875.166666666424</v>
      </c>
      <c r="M104" s="62">
        <f>IF(ISERROR(TblImps[[#This Row],[algorithm]]),0,TblImps[[#This Row],[algorithm]]*1)</f>
        <v>0</v>
      </c>
      <c r="N104" s="97">
        <f ca="1">TblImps[[#This Row],[Land]]</f>
        <v>250</v>
      </c>
      <c r="O104" s="308" t="s">
        <v>4</v>
      </c>
      <c r="P104" s="309"/>
      <c r="Q104" s="308" t="s">
        <v>216</v>
      </c>
      <c r="R104" s="308" t="s">
        <v>7</v>
      </c>
      <c r="S104" s="309"/>
      <c r="T104" s="308" t="s">
        <v>216</v>
      </c>
      <c r="U104" s="308" t="s">
        <v>3</v>
      </c>
      <c r="V104" s="309"/>
      <c r="W104" s="308" t="s">
        <v>216</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44875.166666666424</v>
      </c>
      <c r="BZ104" s="317">
        <f ca="1">OFFSET(TblImps[[#This Row],[Servertime]],-1,0)+1/24</f>
        <v>44875.166666666424</v>
      </c>
      <c r="CA104" s="57"/>
      <c r="CB104" s="315"/>
      <c r="CC104" s="315"/>
      <c r="CD104" s="45" t="s">
        <v>3</v>
      </c>
    </row>
    <row r="105" spans="1:82" x14ac:dyDescent="0.2">
      <c r="A105" s="225">
        <f ca="1">TblConstr[[#This Row],[Land]]</f>
        <v>250</v>
      </c>
      <c r="B105" s="145"/>
      <c r="C105" s="97">
        <f ca="1">TblProd[[#This Row],[Platinum]]</f>
        <v>563497</v>
      </c>
      <c r="D105" s="97">
        <f ca="1">TblProd[[#This Row],[Lumber]]</f>
        <v>59943</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44875.208333333088</v>
      </c>
      <c r="M105" s="62">
        <f>IF(ISERROR(TblImps[[#This Row],[algorithm]]),0,TblImps[[#This Row],[algorithm]]*1)</f>
        <v>0</v>
      </c>
      <c r="N105" s="97">
        <f ca="1">TblImps[[#This Row],[Land]]</f>
        <v>250</v>
      </c>
      <c r="O105" s="308" t="s">
        <v>4</v>
      </c>
      <c r="P105" s="309"/>
      <c r="Q105" s="308" t="s">
        <v>216</v>
      </c>
      <c r="R105" s="308" t="s">
        <v>7</v>
      </c>
      <c r="S105" s="309"/>
      <c r="T105" s="308" t="s">
        <v>216</v>
      </c>
      <c r="U105" s="308" t="s">
        <v>3</v>
      </c>
      <c r="V105" s="309"/>
      <c r="W105" s="308" t="s">
        <v>216</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44875.208333333088</v>
      </c>
      <c r="BZ105" s="317">
        <f ca="1">OFFSET(TblImps[[#This Row],[Servertime]],-1,0)+1/24</f>
        <v>44875.208333333088</v>
      </c>
      <c r="CA105" s="57"/>
      <c r="CB105" s="315"/>
      <c r="CC105" s="315"/>
      <c r="CD105" s="45" t="s">
        <v>2</v>
      </c>
    </row>
    <row r="106" spans="1:82" x14ac:dyDescent="0.2">
      <c r="A106" s="225">
        <f ca="1">TblConstr[[#This Row],[Land]]</f>
        <v>250</v>
      </c>
      <c r="B106" s="145"/>
      <c r="C106" s="97">
        <f ca="1">TblProd[[#This Row],[Platinum]]</f>
        <v>568983</v>
      </c>
      <c r="D106" s="97">
        <f ca="1">TblProd[[#This Row],[Lumber]]</f>
        <v>60344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44875.249999999753</v>
      </c>
      <c r="M106" s="62">
        <f>IF(ISERROR(TblImps[[#This Row],[algorithm]]),0,TblImps[[#This Row],[algorithm]]*1)</f>
        <v>0</v>
      </c>
      <c r="N106" s="97">
        <f ca="1">TblImps[[#This Row],[Land]]</f>
        <v>250</v>
      </c>
      <c r="O106" s="308" t="s">
        <v>4</v>
      </c>
      <c r="P106" s="309"/>
      <c r="Q106" s="308" t="s">
        <v>216</v>
      </c>
      <c r="R106" s="308" t="s">
        <v>7</v>
      </c>
      <c r="S106" s="309"/>
      <c r="T106" s="308" t="s">
        <v>216</v>
      </c>
      <c r="U106" s="308" t="s">
        <v>3</v>
      </c>
      <c r="V106" s="309"/>
      <c r="W106" s="308" t="s">
        <v>216</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44875.249999999753</v>
      </c>
      <c r="BZ106" s="317">
        <f ca="1">OFFSET(TblImps[[#This Row],[Servertime]],-1,0)+1/24</f>
        <v>44875.249999999753</v>
      </c>
      <c r="CA106" s="57"/>
      <c r="CB106" s="315"/>
      <c r="CC106" s="315"/>
    </row>
    <row r="107" spans="1:82" x14ac:dyDescent="0.2">
      <c r="A107" s="225">
        <f ca="1">TblConstr[[#This Row],[Land]]</f>
        <v>250</v>
      </c>
      <c r="B107" s="145"/>
      <c r="C107" s="97">
        <f ca="1">TblProd[[#This Row],[Platinum]]</f>
        <v>574469</v>
      </c>
      <c r="D107" s="97">
        <f ca="1">TblProd[[#This Row],[Lumber]]</f>
        <v>60741</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44875.291666666417</v>
      </c>
      <c r="M107" s="62">
        <f>IF(ISERROR(TblImps[[#This Row],[algorithm]]),0,TblImps[[#This Row],[algorithm]]*1)</f>
        <v>0</v>
      </c>
      <c r="N107" s="97">
        <f ca="1">TblImps[[#This Row],[Land]]</f>
        <v>250</v>
      </c>
      <c r="O107" s="308" t="s">
        <v>4</v>
      </c>
      <c r="P107" s="309"/>
      <c r="Q107" s="308" t="s">
        <v>216</v>
      </c>
      <c r="R107" s="308" t="s">
        <v>7</v>
      </c>
      <c r="S107" s="309"/>
      <c r="T107" s="308" t="s">
        <v>216</v>
      </c>
      <c r="U107" s="308" t="s">
        <v>3</v>
      </c>
      <c r="V107" s="309"/>
      <c r="W107" s="308" t="s">
        <v>216</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44875.291666666417</v>
      </c>
      <c r="BZ107" s="317">
        <f ca="1">OFFSET(TblImps[[#This Row],[Servertime]],-1,0)+1/24</f>
        <v>44875.291666666417</v>
      </c>
      <c r="CA107" s="57"/>
      <c r="CB107" s="315"/>
      <c r="CC107" s="315"/>
      <c r="CD107" s="45" t="s">
        <v>214</v>
      </c>
    </row>
    <row r="108" spans="1:82" x14ac:dyDescent="0.2">
      <c r="A108" s="225">
        <f ca="1">TblConstr[[#This Row],[Land]]</f>
        <v>250</v>
      </c>
      <c r="B108" s="145"/>
      <c r="C108" s="97">
        <f ca="1">TblProd[[#This Row],[Platinum]]</f>
        <v>579955</v>
      </c>
      <c r="D108" s="97">
        <f ca="1">TblProd[[#This Row],[Lumber]]</f>
        <v>61134</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44875.333333333081</v>
      </c>
      <c r="M108" s="62">
        <f>IF(ISERROR(TblImps[[#This Row],[algorithm]]),0,TblImps[[#This Row],[algorithm]]*1)</f>
        <v>0</v>
      </c>
      <c r="N108" s="97">
        <f ca="1">TblImps[[#This Row],[Land]]</f>
        <v>250</v>
      </c>
      <c r="O108" s="308" t="s">
        <v>4</v>
      </c>
      <c r="P108" s="309"/>
      <c r="Q108" s="308" t="s">
        <v>216</v>
      </c>
      <c r="R108" s="308" t="s">
        <v>7</v>
      </c>
      <c r="S108" s="309"/>
      <c r="T108" s="308" t="s">
        <v>216</v>
      </c>
      <c r="U108" s="308" t="s">
        <v>3</v>
      </c>
      <c r="V108" s="309"/>
      <c r="W108" s="308" t="s">
        <v>216</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44875.333333333081</v>
      </c>
      <c r="BZ108" s="317">
        <f ca="1">OFFSET(TblImps[[#This Row],[Servertime]],-1,0)+1/24</f>
        <v>44875.333333333081</v>
      </c>
      <c r="CA108" s="57"/>
      <c r="CB108" s="315"/>
      <c r="CC108" s="315"/>
      <c r="CD108" s="45" t="s">
        <v>216</v>
      </c>
    </row>
    <row r="109" spans="1:82" x14ac:dyDescent="0.2">
      <c r="A109" s="225">
        <f ca="1">TblConstr[[#This Row],[Land]]</f>
        <v>250</v>
      </c>
      <c r="B109" s="145"/>
      <c r="C109" s="97">
        <f ca="1">TblProd[[#This Row],[Platinum]]</f>
        <v>585441</v>
      </c>
      <c r="D109" s="97">
        <f ca="1">TblProd[[#This Row],[Lumber]]</f>
        <v>61523</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44875.374999999745</v>
      </c>
      <c r="M109" s="62">
        <f>IF(ISERROR(TblImps[[#This Row],[algorithm]]),0,TblImps[[#This Row],[algorithm]]*1)</f>
        <v>0</v>
      </c>
      <c r="N109" s="97">
        <f ca="1">TblImps[[#This Row],[Land]]</f>
        <v>250</v>
      </c>
      <c r="O109" s="308" t="s">
        <v>4</v>
      </c>
      <c r="P109" s="309"/>
      <c r="Q109" s="308" t="s">
        <v>216</v>
      </c>
      <c r="R109" s="308" t="s">
        <v>7</v>
      </c>
      <c r="S109" s="309"/>
      <c r="T109" s="308" t="s">
        <v>216</v>
      </c>
      <c r="U109" s="308" t="s">
        <v>3</v>
      </c>
      <c r="V109" s="309"/>
      <c r="W109" s="308" t="s">
        <v>216</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44875.374999999745</v>
      </c>
      <c r="BZ109" s="317">
        <f ca="1">OFFSET(TblImps[[#This Row],[Servertime]],-1,0)+1/24</f>
        <v>44875.374999999745</v>
      </c>
      <c r="CA109" s="57"/>
      <c r="CB109" s="315"/>
      <c r="CC109" s="315"/>
      <c r="CD109" s="45" t="s">
        <v>217</v>
      </c>
    </row>
    <row r="110" spans="1:82" x14ac:dyDescent="0.2">
      <c r="A110" s="225">
        <f ca="1">TblConstr[[#This Row],[Land]]</f>
        <v>250</v>
      </c>
      <c r="B110" s="145"/>
      <c r="C110" s="97">
        <f ca="1">TblProd[[#This Row],[Platinum]]</f>
        <v>590927</v>
      </c>
      <c r="D110" s="97">
        <f ca="1">TblProd[[#This Row],[Lumber]]</f>
        <v>61908</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44875.41666666641</v>
      </c>
      <c r="M110" s="62">
        <f>IF(ISERROR(TblImps[[#This Row],[algorithm]]),0,TblImps[[#This Row],[algorithm]]*1)</f>
        <v>0</v>
      </c>
      <c r="N110" s="97">
        <f ca="1">TblImps[[#This Row],[Land]]</f>
        <v>250</v>
      </c>
      <c r="O110" s="308" t="s">
        <v>4</v>
      </c>
      <c r="P110" s="309"/>
      <c r="Q110" s="308" t="s">
        <v>216</v>
      </c>
      <c r="R110" s="308" t="s">
        <v>7</v>
      </c>
      <c r="S110" s="309"/>
      <c r="T110" s="308" t="s">
        <v>216</v>
      </c>
      <c r="U110" s="308" t="s">
        <v>3</v>
      </c>
      <c r="V110" s="309"/>
      <c r="W110" s="308" t="s">
        <v>216</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44875.41666666641</v>
      </c>
      <c r="BZ110" s="317">
        <f ca="1">OFFSET(TblImps[[#This Row],[Servertime]],-1,0)+1/24</f>
        <v>44875.41666666641</v>
      </c>
      <c r="CA110" s="57"/>
      <c r="CB110" s="315"/>
      <c r="CC110" s="315"/>
      <c r="CD110" s="45" t="s">
        <v>218</v>
      </c>
    </row>
    <row r="111" spans="1:82" x14ac:dyDescent="0.2">
      <c r="A111" s="225">
        <f ca="1">TblConstr[[#This Row],[Land]]</f>
        <v>250</v>
      </c>
      <c r="B111" s="145"/>
      <c r="C111" s="97">
        <f ca="1">TblProd[[#This Row],[Platinum]]</f>
        <v>596413</v>
      </c>
      <c r="D111" s="97">
        <f ca="1">TblProd[[#This Row],[Lumber]]</f>
        <v>62289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44875.458333333074</v>
      </c>
      <c r="M111" s="62">
        <f>IF(ISERROR(TblImps[[#This Row],[algorithm]]),0,TblImps[[#This Row],[algorithm]]*1)</f>
        <v>0</v>
      </c>
      <c r="N111" s="97">
        <f ca="1">TblImps[[#This Row],[Land]]</f>
        <v>250</v>
      </c>
      <c r="O111" s="308" t="s">
        <v>4</v>
      </c>
      <c r="P111" s="309"/>
      <c r="Q111" s="308" t="s">
        <v>216</v>
      </c>
      <c r="R111" s="308" t="s">
        <v>7</v>
      </c>
      <c r="S111" s="309"/>
      <c r="T111" s="308" t="s">
        <v>216</v>
      </c>
      <c r="U111" s="308" t="s">
        <v>3</v>
      </c>
      <c r="V111" s="309"/>
      <c r="W111" s="308" t="s">
        <v>216</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44875.458333333074</v>
      </c>
      <c r="BZ111" s="317">
        <f ca="1">OFFSET(TblImps[[#This Row],[Servertime]],-1,0)+1/24</f>
        <v>44875.458333333074</v>
      </c>
      <c r="CA111" s="57"/>
      <c r="CB111" s="315"/>
      <c r="CC111" s="315"/>
      <c r="CD111" s="45" t="s">
        <v>219</v>
      </c>
    </row>
    <row r="112" spans="1:82" x14ac:dyDescent="0.2">
      <c r="A112" s="225">
        <f ca="1">TblConstr[[#This Row],[Land]]</f>
        <v>250</v>
      </c>
      <c r="B112" s="145"/>
      <c r="C112" s="97">
        <f ca="1">TblProd[[#This Row],[Platinum]]</f>
        <v>601899</v>
      </c>
      <c r="D112" s="97">
        <f ca="1">TblProd[[#This Row],[Lumber]]</f>
        <v>62666</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44875.499999999738</v>
      </c>
      <c r="M112" s="62">
        <f>IF(ISERROR(TblImps[[#This Row],[algorithm]]),0,TblImps[[#This Row],[algorithm]]*1)</f>
        <v>0</v>
      </c>
      <c r="N112" s="97">
        <f ca="1">TblImps[[#This Row],[Land]]</f>
        <v>250</v>
      </c>
      <c r="O112" s="308" t="s">
        <v>4</v>
      </c>
      <c r="P112" s="309"/>
      <c r="Q112" s="308" t="s">
        <v>216</v>
      </c>
      <c r="R112" s="308" t="s">
        <v>7</v>
      </c>
      <c r="S112" s="309"/>
      <c r="T112" s="308" t="s">
        <v>216</v>
      </c>
      <c r="U112" s="308" t="s">
        <v>3</v>
      </c>
      <c r="V112" s="309"/>
      <c r="W112" s="308" t="s">
        <v>216</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44875.499999999738</v>
      </c>
      <c r="BZ112" s="317">
        <f ca="1">OFFSET(TblImps[[#This Row],[Servertime]],-1,0)+1/24</f>
        <v>44875.499999999738</v>
      </c>
      <c r="CA112" s="57"/>
      <c r="CB112" s="315"/>
      <c r="CC112" s="315"/>
      <c r="CD112" s="45" t="s">
        <v>220</v>
      </c>
    </row>
    <row r="113" spans="1:81" x14ac:dyDescent="0.2">
      <c r="A113" s="225">
        <f ca="1">TblConstr[[#This Row],[Land]]</f>
        <v>250</v>
      </c>
      <c r="B113" s="145"/>
      <c r="C113" s="97">
        <f ca="1">TblProd[[#This Row],[Platinum]]</f>
        <v>607385</v>
      </c>
      <c r="D113" s="97">
        <f ca="1">TblProd[[#This Row],[Lumber]]</f>
        <v>63039</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44875.541666666402</v>
      </c>
      <c r="M113" s="62">
        <f>IF(ISERROR(TblImps[[#This Row],[algorithm]]),0,TblImps[[#This Row],[algorithm]]*1)</f>
        <v>0</v>
      </c>
      <c r="N113" s="97">
        <f ca="1">TblImps[[#This Row],[Land]]</f>
        <v>250</v>
      </c>
      <c r="O113" s="308" t="s">
        <v>4</v>
      </c>
      <c r="P113" s="309"/>
      <c r="Q113" s="308" t="s">
        <v>216</v>
      </c>
      <c r="R113" s="308" t="s">
        <v>7</v>
      </c>
      <c r="S113" s="309"/>
      <c r="T113" s="308" t="s">
        <v>216</v>
      </c>
      <c r="U113" s="308" t="s">
        <v>3</v>
      </c>
      <c r="V113" s="309"/>
      <c r="W113" s="308" t="s">
        <v>216</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44875.541666666402</v>
      </c>
      <c r="BZ113" s="317">
        <f ca="1">OFFSET(TblImps[[#This Row],[Servertime]],-1,0)+1/24</f>
        <v>44875.541666666402</v>
      </c>
      <c r="CA113" s="57"/>
      <c r="CB113" s="315"/>
      <c r="CC113" s="315"/>
    </row>
    <row r="114" spans="1:81" x14ac:dyDescent="0.2">
      <c r="A114" s="225">
        <f ca="1">TblConstr[[#This Row],[Land]]</f>
        <v>250</v>
      </c>
      <c r="B114" s="145"/>
      <c r="C114" s="97">
        <f ca="1">TblProd[[#This Row],[Platinum]]</f>
        <v>612871</v>
      </c>
      <c r="D114" s="97">
        <f ca="1">TblProd[[#This Row],[Lumber]]</f>
        <v>63409</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44875.583333333067</v>
      </c>
      <c r="M114" s="62">
        <f>IF(ISERROR(TblImps[[#This Row],[algorithm]]),0,TblImps[[#This Row],[algorithm]]*1)</f>
        <v>0</v>
      </c>
      <c r="N114" s="97">
        <f ca="1">TblImps[[#This Row],[Land]]</f>
        <v>250</v>
      </c>
      <c r="O114" s="308" t="s">
        <v>4</v>
      </c>
      <c r="P114" s="309"/>
      <c r="Q114" s="308" t="s">
        <v>216</v>
      </c>
      <c r="R114" s="308" t="s">
        <v>7</v>
      </c>
      <c r="S114" s="309"/>
      <c r="T114" s="308" t="s">
        <v>216</v>
      </c>
      <c r="U114" s="308" t="s">
        <v>3</v>
      </c>
      <c r="V114" s="309"/>
      <c r="W114" s="308" t="s">
        <v>216</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44875.583333333067</v>
      </c>
      <c r="BZ114" s="317">
        <f ca="1">OFFSET(TblImps[[#This Row],[Servertime]],-1,0)+1/24</f>
        <v>44875.583333333067</v>
      </c>
      <c r="CA114" s="320"/>
      <c r="CB114" s="315"/>
      <c r="CC114" s="315"/>
    </row>
    <row r="115" spans="1:81" x14ac:dyDescent="0.2">
      <c r="A115" s="225">
        <f ca="1">TblConstr[[#This Row],[Land]]</f>
        <v>250</v>
      </c>
      <c r="B115" s="145"/>
      <c r="C115" s="97">
        <f ca="1">TblProd[[#This Row],[Platinum]]</f>
        <v>618357</v>
      </c>
      <c r="D115" s="97">
        <f ca="1">TblProd[[#This Row],[Lumber]]</f>
        <v>63775</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44875.624999999731</v>
      </c>
      <c r="M115" s="62">
        <f>IF(ISERROR(TblImps[[#This Row],[algorithm]]),0,TblImps[[#This Row],[algorithm]]*1)</f>
        <v>0</v>
      </c>
      <c r="N115" s="97">
        <f ca="1">TblImps[[#This Row],[Land]]</f>
        <v>250</v>
      </c>
      <c r="O115" s="308" t="s">
        <v>4</v>
      </c>
      <c r="P115" s="309"/>
      <c r="Q115" s="308" t="s">
        <v>216</v>
      </c>
      <c r="R115" s="308" t="s">
        <v>7</v>
      </c>
      <c r="S115" s="309"/>
      <c r="T115" s="308" t="s">
        <v>216</v>
      </c>
      <c r="U115" s="308" t="s">
        <v>3</v>
      </c>
      <c r="V115" s="309"/>
      <c r="W115" s="308" t="s">
        <v>216</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44875.624999999731</v>
      </c>
      <c r="BZ115" s="317">
        <f ca="1">OFFSET(TblImps[[#This Row],[Servertime]],-1,0)+1/24</f>
        <v>44875.624999999731</v>
      </c>
      <c r="CA115" s="57"/>
      <c r="CB115" s="315"/>
      <c r="CC115" s="315"/>
    </row>
    <row r="116" spans="1:81" x14ac:dyDescent="0.2">
      <c r="A116" s="225">
        <f ca="1">TblConstr[[#This Row],[Land]]</f>
        <v>250</v>
      </c>
      <c r="B116" s="145"/>
      <c r="C116" s="97">
        <f ca="1">TblProd[[#This Row],[Platinum]]</f>
        <v>623843</v>
      </c>
      <c r="D116" s="97">
        <f ca="1">TblProd[[#This Row],[Lumber]]</f>
        <v>64137</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44875.666666666395</v>
      </c>
      <c r="M116" s="62">
        <f>IF(ISERROR(TblImps[[#This Row],[algorithm]]),0,TblImps[[#This Row],[algorithm]]*1)</f>
        <v>0</v>
      </c>
      <c r="N116" s="97">
        <f ca="1">TblImps[[#This Row],[Land]]</f>
        <v>250</v>
      </c>
      <c r="O116" s="308" t="s">
        <v>4</v>
      </c>
      <c r="P116" s="309"/>
      <c r="Q116" s="308" t="s">
        <v>216</v>
      </c>
      <c r="R116" s="308" t="s">
        <v>7</v>
      </c>
      <c r="S116" s="309"/>
      <c r="T116" s="308" t="s">
        <v>216</v>
      </c>
      <c r="U116" s="308" t="s">
        <v>3</v>
      </c>
      <c r="V116" s="309"/>
      <c r="W116" s="308" t="s">
        <v>216</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44875.666666666395</v>
      </c>
      <c r="BZ116" s="317">
        <f ca="1">OFFSET(TblImps[[#This Row],[Servertime]],-1,0)+1/24</f>
        <v>44875.666666666395</v>
      </c>
      <c r="CA116" s="57"/>
      <c r="CB116" s="315"/>
      <c r="CC116" s="315"/>
    </row>
    <row r="117" spans="1:81" x14ac:dyDescent="0.2">
      <c r="A117" s="225">
        <f ca="1">TblConstr[[#This Row],[Land]]</f>
        <v>250</v>
      </c>
      <c r="B117" s="145"/>
      <c r="C117" s="97">
        <f ca="1">TblProd[[#This Row],[Platinum]]</f>
        <v>629329</v>
      </c>
      <c r="D117" s="97">
        <f ca="1">TblProd[[#This Row],[Lumber]]</f>
        <v>64496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44875.708333333059</v>
      </c>
      <c r="M117" s="62">
        <f>IF(ISERROR(TblImps[[#This Row],[algorithm]]),0,TblImps[[#This Row],[algorithm]]*1)</f>
        <v>0</v>
      </c>
      <c r="N117" s="97">
        <f ca="1">TblImps[[#This Row],[Land]]</f>
        <v>250</v>
      </c>
      <c r="O117" s="308" t="s">
        <v>4</v>
      </c>
      <c r="P117" s="309"/>
      <c r="Q117" s="308" t="s">
        <v>216</v>
      </c>
      <c r="R117" s="308" t="s">
        <v>7</v>
      </c>
      <c r="S117" s="309"/>
      <c r="T117" s="308" t="s">
        <v>216</v>
      </c>
      <c r="U117" s="308" t="s">
        <v>3</v>
      </c>
      <c r="V117" s="309"/>
      <c r="W117" s="308" t="s">
        <v>216</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44875.708333333059</v>
      </c>
      <c r="BZ117" s="317">
        <f ca="1">OFFSET(TblImps[[#This Row],[Servertime]],-1,0)+1/24</f>
        <v>44875.708333333059</v>
      </c>
      <c r="CA117" s="57"/>
      <c r="CB117" s="315"/>
      <c r="CC117" s="315"/>
    </row>
    <row r="118" spans="1:81" x14ac:dyDescent="0.2">
      <c r="A118" s="225">
        <f ca="1">TblConstr[[#This Row],[Land]]</f>
        <v>250</v>
      </c>
      <c r="B118" s="145"/>
      <c r="C118" s="97">
        <f ca="1">TblProd[[#This Row],[Platinum]]</f>
        <v>634815</v>
      </c>
      <c r="D118" s="97">
        <f ca="1">TblProd[[#This Row],[Lumber]]</f>
        <v>64851</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44875.749999999724</v>
      </c>
      <c r="M118" s="62">
        <f>IF(ISERROR(TblImps[[#This Row],[algorithm]]),0,TblImps[[#This Row],[algorithm]]*1)</f>
        <v>0</v>
      </c>
      <c r="N118" s="97">
        <f ca="1">TblImps[[#This Row],[Land]]</f>
        <v>250</v>
      </c>
      <c r="O118" s="308" t="s">
        <v>4</v>
      </c>
      <c r="P118" s="309"/>
      <c r="Q118" s="308" t="s">
        <v>216</v>
      </c>
      <c r="R118" s="308" t="s">
        <v>7</v>
      </c>
      <c r="S118" s="309"/>
      <c r="T118" s="308" t="s">
        <v>216</v>
      </c>
      <c r="U118" s="308" t="s">
        <v>3</v>
      </c>
      <c r="V118" s="309"/>
      <c r="W118" s="308" t="s">
        <v>216</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44875.749999999724</v>
      </c>
      <c r="BZ118" s="317">
        <f ca="1">OFFSET(TblImps[[#This Row],[Servertime]],-1,0)+1/24</f>
        <v>44875.749999999724</v>
      </c>
      <c r="CA118" s="57"/>
      <c r="CB118" s="315"/>
      <c r="CC118" s="315"/>
    </row>
    <row r="119" spans="1:81" x14ac:dyDescent="0.2">
      <c r="A119" s="225">
        <f ca="1">TblConstr[[#This Row],[Land]]</f>
        <v>250</v>
      </c>
      <c r="B119" s="145"/>
      <c r="C119" s="97">
        <f ca="1">TblProd[[#This Row],[Platinum]]</f>
        <v>640301</v>
      </c>
      <c r="D119" s="97">
        <f ca="1">TblProd[[#This Row],[Lumber]]</f>
        <v>65202</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44875.791666666388</v>
      </c>
      <c r="M119" s="62">
        <f>IF(ISERROR(TblImps[[#This Row],[algorithm]]),0,TblImps[[#This Row],[algorithm]]*1)</f>
        <v>0</v>
      </c>
      <c r="N119" s="97">
        <f ca="1">TblImps[[#This Row],[Land]]</f>
        <v>250</v>
      </c>
      <c r="O119" s="308" t="s">
        <v>4</v>
      </c>
      <c r="P119" s="309"/>
      <c r="Q119" s="308" t="s">
        <v>216</v>
      </c>
      <c r="R119" s="308" t="s">
        <v>7</v>
      </c>
      <c r="S119" s="309"/>
      <c r="T119" s="308" t="s">
        <v>216</v>
      </c>
      <c r="U119" s="308" t="s">
        <v>3</v>
      </c>
      <c r="V119" s="309"/>
      <c r="W119" s="308" t="s">
        <v>216</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44875.791666666388</v>
      </c>
      <c r="BZ119" s="317">
        <f ca="1">OFFSET(TblImps[[#This Row],[Servertime]],-1,0)+1/24</f>
        <v>44875.791666666388</v>
      </c>
      <c r="CA119" s="57"/>
      <c r="CB119" s="315"/>
      <c r="CC119" s="315"/>
    </row>
    <row r="120" spans="1:81" x14ac:dyDescent="0.2">
      <c r="A120" s="225">
        <f ca="1">TblConstr[[#This Row],[Land]]</f>
        <v>250</v>
      </c>
      <c r="B120" s="145"/>
      <c r="C120" s="97">
        <f ca="1">TblProd[[#This Row],[Platinum]]</f>
        <v>645787</v>
      </c>
      <c r="D120" s="97">
        <f ca="1">TblProd[[#This Row],[Lumber]]</f>
        <v>65550</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44875.833333333052</v>
      </c>
      <c r="M120" s="62">
        <f>IF(ISERROR(TblImps[[#This Row],[algorithm]]),0,TblImps[[#This Row],[algorithm]]*1)</f>
        <v>0</v>
      </c>
      <c r="N120" s="97">
        <f ca="1">TblImps[[#This Row],[Land]]</f>
        <v>250</v>
      </c>
      <c r="O120" s="308" t="s">
        <v>4</v>
      </c>
      <c r="P120" s="309"/>
      <c r="Q120" s="308" t="s">
        <v>216</v>
      </c>
      <c r="R120" s="308" t="s">
        <v>7</v>
      </c>
      <c r="S120" s="309"/>
      <c r="T120" s="308" t="s">
        <v>216</v>
      </c>
      <c r="U120" s="308" t="s">
        <v>3</v>
      </c>
      <c r="V120" s="309"/>
      <c r="W120" s="308" t="s">
        <v>216</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44875.833333333052</v>
      </c>
      <c r="BZ120" s="317">
        <f ca="1">OFFSET(TblImps[[#This Row],[Servertime]],-1,0)+1/24</f>
        <v>44875.833333333052</v>
      </c>
      <c r="CA120" s="57"/>
      <c r="CB120" s="315"/>
      <c r="CC120" s="315"/>
    </row>
    <row r="121" spans="1:81" x14ac:dyDescent="0.2">
      <c r="A121" s="225">
        <f ca="1">TblConstr[[#This Row],[Land]]</f>
        <v>250</v>
      </c>
      <c r="B121" s="145"/>
      <c r="C121" s="97">
        <f ca="1">TblProd[[#This Row],[Platinum]]</f>
        <v>651273</v>
      </c>
      <c r="D121" s="97">
        <f ca="1">TblProd[[#This Row],[Lumber]]</f>
        <v>65895</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44875.874999999716</v>
      </c>
      <c r="M121" s="62">
        <f>IF(ISERROR(TblImps[[#This Row],[algorithm]]),0,TblImps[[#This Row],[algorithm]]*1)</f>
        <v>0</v>
      </c>
      <c r="N121" s="97">
        <f ca="1">TblImps[[#This Row],[Land]]</f>
        <v>250</v>
      </c>
      <c r="O121" s="308" t="s">
        <v>4</v>
      </c>
      <c r="P121" s="309"/>
      <c r="Q121" s="308" t="s">
        <v>216</v>
      </c>
      <c r="R121" s="308" t="s">
        <v>7</v>
      </c>
      <c r="S121" s="309"/>
      <c r="T121" s="308" t="s">
        <v>216</v>
      </c>
      <c r="U121" s="308" t="s">
        <v>3</v>
      </c>
      <c r="V121" s="309"/>
      <c r="W121" s="308" t="s">
        <v>216</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44875.874999999716</v>
      </c>
      <c r="BZ121" s="317">
        <f ca="1">OFFSET(TblImps[[#This Row],[Servertime]],-1,0)+1/24</f>
        <v>44875.874999999716</v>
      </c>
      <c r="CA121" s="57"/>
      <c r="CB121" s="315"/>
      <c r="CC121" s="315"/>
    </row>
    <row r="122" spans="1:81" x14ac:dyDescent="0.2">
      <c r="A122" s="225">
        <f ca="1">TblConstr[[#This Row],[Land]]</f>
        <v>250</v>
      </c>
      <c r="B122" s="145"/>
      <c r="C122" s="97">
        <f ca="1">TblProd[[#This Row],[Platinum]]</f>
        <v>656759</v>
      </c>
      <c r="D122" s="97">
        <f ca="1">TblProd[[#This Row],[Lumber]]</f>
        <v>66236</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44875.91666666638</v>
      </c>
      <c r="M122" s="62">
        <f>IF(ISERROR(TblImps[[#This Row],[algorithm]]),0,TblImps[[#This Row],[algorithm]]*1)</f>
        <v>0</v>
      </c>
      <c r="N122" s="97">
        <f ca="1">TblImps[[#This Row],[Land]]</f>
        <v>250</v>
      </c>
      <c r="O122" s="308" t="s">
        <v>4</v>
      </c>
      <c r="P122" s="309"/>
      <c r="Q122" s="308" t="s">
        <v>216</v>
      </c>
      <c r="R122" s="308" t="s">
        <v>7</v>
      </c>
      <c r="S122" s="309"/>
      <c r="T122" s="308" t="s">
        <v>216</v>
      </c>
      <c r="U122" s="308" t="s">
        <v>3</v>
      </c>
      <c r="V122" s="309"/>
      <c r="W122" s="308" t="s">
        <v>216</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44875.91666666638</v>
      </c>
      <c r="BZ122" s="317">
        <f ca="1">OFFSET(TblImps[[#This Row],[Servertime]],-1,0)+1/24</f>
        <v>44875.91666666638</v>
      </c>
      <c r="CA122" s="57"/>
      <c r="CB122" s="315"/>
      <c r="CC122" s="315"/>
    </row>
    <row r="123" spans="1:81" x14ac:dyDescent="0.2">
      <c r="A123" s="225">
        <f ca="1">TblConstr[[#This Row],[Land]]</f>
        <v>250</v>
      </c>
      <c r="B123" s="145"/>
      <c r="C123" s="97">
        <f ca="1">TblProd[[#This Row],[Platinum]]</f>
        <v>662245</v>
      </c>
      <c r="D123" s="97">
        <f ca="1">TblProd[[#This Row],[Lumber]]</f>
        <v>66574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44875.958333333045</v>
      </c>
      <c r="M123" s="62">
        <f>IF(ISERROR(TblImps[[#This Row],[algorithm]]),0,TblImps[[#This Row],[algorithm]]*1)</f>
        <v>0</v>
      </c>
      <c r="N123" s="97">
        <f ca="1">TblImps[[#This Row],[Land]]</f>
        <v>250</v>
      </c>
      <c r="O123" s="308" t="s">
        <v>4</v>
      </c>
      <c r="P123" s="309"/>
      <c r="Q123" s="308" t="s">
        <v>216</v>
      </c>
      <c r="R123" s="308" t="s">
        <v>7</v>
      </c>
      <c r="S123" s="309"/>
      <c r="T123" s="308" t="s">
        <v>216</v>
      </c>
      <c r="U123" s="308" t="s">
        <v>3</v>
      </c>
      <c r="V123" s="309"/>
      <c r="W123" s="308" t="s">
        <v>216</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44875.958333333045</v>
      </c>
      <c r="BZ123" s="317">
        <f ca="1">OFFSET(TblImps[[#This Row],[Servertime]],-1,0)+1/24</f>
        <v>44875.958333333045</v>
      </c>
      <c r="CA123" s="57"/>
      <c r="CB123" s="315"/>
      <c r="CC123" s="315"/>
    </row>
    <row r="124" spans="1:81" x14ac:dyDescent="0.2">
      <c r="A124" s="225">
        <f ca="1">TblConstr[[#This Row],[Land]]</f>
        <v>250</v>
      </c>
      <c r="B124" s="145"/>
      <c r="C124" s="97">
        <f ca="1">TblProd[[#This Row],[Platinum]]</f>
        <v>667731</v>
      </c>
      <c r="D124" s="97">
        <f ca="1">TblProd[[#This Row],[Lumber]]</f>
        <v>66908</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44875.999999999709</v>
      </c>
      <c r="M124" s="62">
        <f>IF(ISERROR(TblImps[[#This Row],[algorithm]]),0,TblImps[[#This Row],[algorithm]]*1)</f>
        <v>0</v>
      </c>
      <c r="N124" s="97">
        <f ca="1">TblImps[[#This Row],[Land]]</f>
        <v>250</v>
      </c>
      <c r="O124" s="308" t="s">
        <v>4</v>
      </c>
      <c r="P124" s="309"/>
      <c r="Q124" s="308" t="s">
        <v>216</v>
      </c>
      <c r="R124" s="308" t="s">
        <v>7</v>
      </c>
      <c r="S124" s="309"/>
      <c r="T124" s="308" t="s">
        <v>216</v>
      </c>
      <c r="U124" s="308" t="s">
        <v>3</v>
      </c>
      <c r="V124" s="309"/>
      <c r="W124" s="308" t="s">
        <v>216</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44875.999999999709</v>
      </c>
      <c r="BZ124" s="317">
        <f ca="1">OFFSET(TblImps[[#This Row],[Servertime]],-1,0)+1/24</f>
        <v>44875.999999999709</v>
      </c>
      <c r="CA124" s="57"/>
      <c r="CB124" s="315"/>
      <c r="CC124" s="315"/>
    </row>
    <row r="125" spans="1:81" x14ac:dyDescent="0.2">
      <c r="A125" s="225">
        <f ca="1">TblConstr[[#This Row],[Land]]</f>
        <v>250</v>
      </c>
      <c r="B125" s="145"/>
      <c r="C125" s="97">
        <f ca="1">TblProd[[#This Row],[Platinum]]</f>
        <v>673217</v>
      </c>
      <c r="D125" s="97">
        <f ca="1">TblProd[[#This Row],[Lumber]]</f>
        <v>67239</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44876.041666666373</v>
      </c>
      <c r="M125" s="62">
        <f>IF(ISERROR(TblImps[[#This Row],[algorithm]]),0,TblImps[[#This Row],[algorithm]]*1)</f>
        <v>0</v>
      </c>
      <c r="N125" s="97">
        <f ca="1">TblImps[[#This Row],[Land]]</f>
        <v>250</v>
      </c>
      <c r="O125" s="308" t="s">
        <v>4</v>
      </c>
      <c r="P125" s="309"/>
      <c r="Q125" s="308" t="s">
        <v>216</v>
      </c>
      <c r="R125" s="308" t="s">
        <v>7</v>
      </c>
      <c r="S125" s="309"/>
      <c r="T125" s="308" t="s">
        <v>216</v>
      </c>
      <c r="U125" s="308" t="s">
        <v>3</v>
      </c>
      <c r="V125" s="309"/>
      <c r="W125" s="308" t="s">
        <v>216</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44876.041666666373</v>
      </c>
      <c r="BZ125" s="317">
        <f ca="1">OFFSET(TblImps[[#This Row],[Servertime]],-1,0)+1/24</f>
        <v>44876.041666666373</v>
      </c>
      <c r="CA125" s="57"/>
      <c r="CB125" s="315"/>
      <c r="CC125" s="315"/>
    </row>
    <row r="126" spans="1:81" x14ac:dyDescent="0.2">
      <c r="A126" s="225">
        <f ca="1">TblConstr[[#This Row],[Land]]</f>
        <v>250</v>
      </c>
      <c r="B126" s="145"/>
      <c r="C126" s="97">
        <f ca="1">TblProd[[#This Row],[Platinum]]</f>
        <v>678703</v>
      </c>
      <c r="D126" s="97">
        <f ca="1">TblProd[[#This Row],[Lumber]]</f>
        <v>67567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44876.083333333037</v>
      </c>
      <c r="M126" s="62">
        <f>IF(ISERROR(TblImps[[#This Row],[algorithm]]),0,TblImps[[#This Row],[algorithm]]*1)</f>
        <v>0</v>
      </c>
      <c r="N126" s="97">
        <f ca="1">TblImps[[#This Row],[Land]]</f>
        <v>250</v>
      </c>
      <c r="O126" s="308" t="s">
        <v>4</v>
      </c>
      <c r="P126" s="309"/>
      <c r="Q126" s="308" t="s">
        <v>216</v>
      </c>
      <c r="R126" s="308" t="s">
        <v>7</v>
      </c>
      <c r="S126" s="309"/>
      <c r="T126" s="308" t="s">
        <v>216</v>
      </c>
      <c r="U126" s="308" t="s">
        <v>3</v>
      </c>
      <c r="V126" s="309"/>
      <c r="W126" s="308" t="s">
        <v>216</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44876.083333333037</v>
      </c>
      <c r="BZ126" s="317">
        <f ca="1">OFFSET(TblImps[[#This Row],[Servertime]],-1,0)+1/24</f>
        <v>44876.083333333037</v>
      </c>
      <c r="CA126" s="57"/>
      <c r="CB126" s="315"/>
      <c r="CC126" s="315"/>
    </row>
    <row r="127" spans="1:81" x14ac:dyDescent="0.2">
      <c r="A127" s="225">
        <f ca="1">TblConstr[[#This Row],[Land]]</f>
        <v>250</v>
      </c>
      <c r="B127" s="145"/>
      <c r="C127" s="97">
        <f ca="1">TblProd[[#This Row],[Platinum]]</f>
        <v>684189</v>
      </c>
      <c r="D127" s="97">
        <f ca="1">TblProd[[#This Row],[Lumber]]</f>
        <v>67891</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44876.124999999702</v>
      </c>
      <c r="M127" s="62">
        <f>IF(ISERROR(TblImps[[#This Row],[algorithm]]),0,TblImps[[#This Row],[algorithm]]*1)</f>
        <v>0</v>
      </c>
      <c r="N127" s="97">
        <f ca="1">TblImps[[#This Row],[Land]]</f>
        <v>250</v>
      </c>
      <c r="O127" s="308" t="s">
        <v>4</v>
      </c>
      <c r="P127" s="309"/>
      <c r="Q127" s="308" t="s">
        <v>216</v>
      </c>
      <c r="R127" s="308" t="s">
        <v>7</v>
      </c>
      <c r="S127" s="309"/>
      <c r="T127" s="308" t="s">
        <v>216</v>
      </c>
      <c r="U127" s="308" t="s">
        <v>3</v>
      </c>
      <c r="V127" s="309"/>
      <c r="W127" s="308" t="s">
        <v>216</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44876.124999999702</v>
      </c>
      <c r="BZ127" s="317">
        <f ca="1">OFFSET(TblImps[[#This Row],[Servertime]],-1,0)+1/24</f>
        <v>44876.124999999702</v>
      </c>
      <c r="CA127" s="57"/>
      <c r="CB127" s="315"/>
      <c r="CC127" s="315"/>
    </row>
    <row r="128" spans="1:81" x14ac:dyDescent="0.2">
      <c r="A128" s="225">
        <f ca="1">TblConstr[[#This Row],[Land]]</f>
        <v>250</v>
      </c>
      <c r="B128" s="145"/>
      <c r="C128" s="97">
        <f ca="1">TblProd[[#This Row],[Platinum]]</f>
        <v>689675</v>
      </c>
      <c r="D128" s="97">
        <f ca="1">TblProd[[#This Row],[Lumber]]</f>
        <v>68212</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44876.166666666366</v>
      </c>
      <c r="M128" s="62">
        <f>IF(ISERROR(TblImps[[#This Row],[algorithm]]),0,TblImps[[#This Row],[algorithm]]*1)</f>
        <v>0</v>
      </c>
      <c r="N128" s="97">
        <f ca="1">TblImps[[#This Row],[Land]]</f>
        <v>250</v>
      </c>
      <c r="O128" s="308" t="s">
        <v>4</v>
      </c>
      <c r="P128" s="309"/>
      <c r="Q128" s="308" t="s">
        <v>216</v>
      </c>
      <c r="R128" s="308" t="s">
        <v>7</v>
      </c>
      <c r="S128" s="309"/>
      <c r="T128" s="308" t="s">
        <v>216</v>
      </c>
      <c r="U128" s="308" t="s">
        <v>3</v>
      </c>
      <c r="V128" s="309"/>
      <c r="W128" s="308" t="s">
        <v>216</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44876.166666666366</v>
      </c>
      <c r="BZ128" s="317">
        <f ca="1">OFFSET(TblImps[[#This Row],[Servertime]],-1,0)+1/24</f>
        <v>44876.166666666366</v>
      </c>
      <c r="CA128" s="57"/>
      <c r="CB128" s="315"/>
      <c r="CC128" s="315"/>
    </row>
    <row r="129" spans="1:81" x14ac:dyDescent="0.2">
      <c r="A129" s="225">
        <f ca="1">TblConstr[[#This Row],[Land]]</f>
        <v>250</v>
      </c>
      <c r="B129" s="145"/>
      <c r="C129" s="97">
        <f ca="1">TblProd[[#This Row],[Platinum]]</f>
        <v>695161</v>
      </c>
      <c r="D129" s="97">
        <f ca="1">TblProd[[#This Row],[Lumber]]</f>
        <v>68530</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44876.20833333303</v>
      </c>
      <c r="M129" s="62">
        <f>IF(ISERROR(TblImps[[#This Row],[algorithm]]),0,TblImps[[#This Row],[algorithm]]*1)</f>
        <v>0</v>
      </c>
      <c r="N129" s="97">
        <f ca="1">TblImps[[#This Row],[Land]]</f>
        <v>250</v>
      </c>
      <c r="O129" s="308" t="s">
        <v>4</v>
      </c>
      <c r="P129" s="309"/>
      <c r="Q129" s="308" t="s">
        <v>216</v>
      </c>
      <c r="R129" s="308" t="s">
        <v>7</v>
      </c>
      <c r="S129" s="309"/>
      <c r="T129" s="308" t="s">
        <v>216</v>
      </c>
      <c r="U129" s="308" t="s">
        <v>3</v>
      </c>
      <c r="V129" s="309"/>
      <c r="W129" s="308" t="s">
        <v>216</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44876.20833333303</v>
      </c>
      <c r="BZ129" s="317">
        <f ca="1">OFFSET(TblImps[[#This Row],[Servertime]],-1,0)+1/24</f>
        <v>44876.20833333303</v>
      </c>
      <c r="CA129" s="57"/>
      <c r="CB129" s="315"/>
      <c r="CC129" s="315"/>
    </row>
    <row r="130" spans="1:81" x14ac:dyDescent="0.2">
      <c r="A130" s="225">
        <f ca="1">TblConstr[[#This Row],[Land]]</f>
        <v>250</v>
      </c>
      <c r="B130" s="145"/>
      <c r="C130" s="97">
        <f ca="1">TblProd[[#This Row],[Platinum]]</f>
        <v>700647</v>
      </c>
      <c r="D130" s="97">
        <f ca="1">TblProd[[#This Row],[Lumber]]</f>
        <v>68845</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44876.249999999694</v>
      </c>
      <c r="M130" s="62">
        <f>IF(ISERROR(TblImps[[#This Row],[algorithm]]),0,TblImps[[#This Row],[algorithm]]*1)</f>
        <v>0</v>
      </c>
      <c r="N130" s="97">
        <f ca="1">TblImps[[#This Row],[Land]]</f>
        <v>250</v>
      </c>
      <c r="O130" s="308" t="s">
        <v>4</v>
      </c>
      <c r="P130" s="309"/>
      <c r="Q130" s="308" t="s">
        <v>216</v>
      </c>
      <c r="R130" s="308" t="s">
        <v>7</v>
      </c>
      <c r="S130" s="309"/>
      <c r="T130" s="308" t="s">
        <v>216</v>
      </c>
      <c r="U130" s="308" t="s">
        <v>3</v>
      </c>
      <c r="V130" s="309"/>
      <c r="W130" s="308" t="s">
        <v>216</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44876.249999999694</v>
      </c>
      <c r="BZ130" s="317">
        <f ca="1">OFFSET(TblImps[[#This Row],[Servertime]],-1,0)+1/24</f>
        <v>44876.249999999694</v>
      </c>
      <c r="CA130" s="57"/>
      <c r="CB130" s="315"/>
      <c r="CC130" s="315"/>
    </row>
    <row r="131" spans="1:81" x14ac:dyDescent="0.2">
      <c r="A131" s="225">
        <f ca="1">TblConstr[[#This Row],[Land]]</f>
        <v>250</v>
      </c>
      <c r="B131" s="145"/>
      <c r="C131" s="97">
        <f ca="1">TblProd[[#This Row],[Platinum]]</f>
        <v>706133</v>
      </c>
      <c r="D131" s="97">
        <f ca="1">TblProd[[#This Row],[Lumber]]</f>
        <v>69157</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44876.291666666359</v>
      </c>
      <c r="M131" s="62">
        <f>IF(ISERROR(TblImps[[#This Row],[algorithm]]),0,TblImps[[#This Row],[algorithm]]*1)</f>
        <v>0</v>
      </c>
      <c r="N131" s="97">
        <f ca="1">TblImps[[#This Row],[Land]]</f>
        <v>250</v>
      </c>
      <c r="O131" s="308" t="s">
        <v>4</v>
      </c>
      <c r="P131" s="309"/>
      <c r="Q131" s="308" t="s">
        <v>216</v>
      </c>
      <c r="R131" s="308" t="s">
        <v>7</v>
      </c>
      <c r="S131" s="309"/>
      <c r="T131" s="308" t="s">
        <v>216</v>
      </c>
      <c r="U131" s="308" t="s">
        <v>3</v>
      </c>
      <c r="V131" s="309"/>
      <c r="W131" s="308" t="s">
        <v>216</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44876.291666666359</v>
      </c>
      <c r="BZ131" s="317">
        <f ca="1">OFFSET(TblImps[[#This Row],[Servertime]],-1,0)+1/24</f>
        <v>44876.291666666359</v>
      </c>
      <c r="CA131" s="57"/>
      <c r="CB131" s="315"/>
      <c r="CC131" s="315"/>
    </row>
    <row r="132" spans="1:81" x14ac:dyDescent="0.2">
      <c r="A132" s="225">
        <f ca="1">TblConstr[[#This Row],[Land]]</f>
        <v>250</v>
      </c>
      <c r="B132" s="145"/>
      <c r="C132" s="97">
        <f ca="1">TblProd[[#This Row],[Platinum]]</f>
        <v>711619</v>
      </c>
      <c r="D132" s="97">
        <f ca="1">TblProd[[#This Row],[Lumber]]</f>
        <v>69465</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44876.333333333023</v>
      </c>
      <c r="M132" s="62">
        <f>IF(ISERROR(TblImps[[#This Row],[algorithm]]),0,TblImps[[#This Row],[algorithm]]*1)</f>
        <v>0</v>
      </c>
      <c r="N132" s="97">
        <f ca="1">TblImps[[#This Row],[Land]]</f>
        <v>250</v>
      </c>
      <c r="O132" s="308" t="s">
        <v>4</v>
      </c>
      <c r="P132" s="309"/>
      <c r="Q132" s="308" t="s">
        <v>216</v>
      </c>
      <c r="R132" s="308" t="s">
        <v>7</v>
      </c>
      <c r="S132" s="309"/>
      <c r="T132" s="308" t="s">
        <v>216</v>
      </c>
      <c r="U132" s="308" t="s">
        <v>3</v>
      </c>
      <c r="V132" s="309"/>
      <c r="W132" s="308" t="s">
        <v>216</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44876.333333333023</v>
      </c>
      <c r="BZ132" s="317">
        <f ca="1">OFFSET(TblImps[[#This Row],[Servertime]],-1,0)+1/24</f>
        <v>44876.333333333023</v>
      </c>
      <c r="CA132" s="57"/>
      <c r="CB132" s="315"/>
      <c r="CC132" s="315"/>
    </row>
    <row r="133" spans="1:81" x14ac:dyDescent="0.2">
      <c r="A133" s="225">
        <f ca="1">TblConstr[[#This Row],[Land]]</f>
        <v>250</v>
      </c>
      <c r="B133" s="145"/>
      <c r="C133" s="97">
        <f ca="1">TblProd[[#This Row],[Platinum]]</f>
        <v>717105</v>
      </c>
      <c r="D133" s="97">
        <f ca="1">TblProd[[#This Row],[Lumber]]</f>
        <v>69770</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44876.374999999687</v>
      </c>
      <c r="M133" s="62">
        <f>IF(ISERROR(TblImps[[#This Row],[algorithm]]),0,TblImps[[#This Row],[algorithm]]*1)</f>
        <v>0</v>
      </c>
      <c r="N133" s="97">
        <f ca="1">TblImps[[#This Row],[Land]]</f>
        <v>250</v>
      </c>
      <c r="O133" s="308" t="s">
        <v>4</v>
      </c>
      <c r="P133" s="309"/>
      <c r="Q133" s="308" t="s">
        <v>216</v>
      </c>
      <c r="R133" s="308" t="s">
        <v>7</v>
      </c>
      <c r="S133" s="309"/>
      <c r="T133" s="308" t="s">
        <v>216</v>
      </c>
      <c r="U133" s="308" t="s">
        <v>3</v>
      </c>
      <c r="V133" s="309"/>
      <c r="W133" s="308" t="s">
        <v>216</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44876.374999999687</v>
      </c>
      <c r="BZ133" s="317">
        <f ca="1">OFFSET(TblImps[[#This Row],[Servertime]],-1,0)+1/24</f>
        <v>44876.374999999687</v>
      </c>
      <c r="CA133" s="57"/>
      <c r="CB133" s="315"/>
      <c r="CC133" s="315"/>
    </row>
    <row r="134" spans="1:81" x14ac:dyDescent="0.2">
      <c r="A134" s="225">
        <f ca="1">TblConstr[[#This Row],[Land]]</f>
        <v>250</v>
      </c>
      <c r="B134" s="145"/>
      <c r="C134" s="97">
        <f ca="1">TblProd[[#This Row],[Platinum]]</f>
        <v>722591</v>
      </c>
      <c r="D134" s="97">
        <f ca="1">TblProd[[#This Row],[Lumber]]</f>
        <v>70072</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44876.416666666351</v>
      </c>
      <c r="M134" s="62">
        <f>IF(ISERROR(TblImps[[#This Row],[algorithm]]),0,TblImps[[#This Row],[algorithm]]*1)</f>
        <v>0</v>
      </c>
      <c r="N134" s="97">
        <f ca="1">TblImps[[#This Row],[Land]]</f>
        <v>250</v>
      </c>
      <c r="O134" s="308" t="s">
        <v>4</v>
      </c>
      <c r="P134" s="309"/>
      <c r="Q134" s="308" t="s">
        <v>216</v>
      </c>
      <c r="R134" s="308" t="s">
        <v>7</v>
      </c>
      <c r="S134" s="309"/>
      <c r="T134" s="308" t="s">
        <v>216</v>
      </c>
      <c r="U134" s="308" t="s">
        <v>3</v>
      </c>
      <c r="V134" s="309"/>
      <c r="W134" s="308" t="s">
        <v>216</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44876.416666666351</v>
      </c>
      <c r="BZ134" s="317">
        <f ca="1">OFFSET(TblImps[[#This Row],[Servertime]],-1,0)+1/24</f>
        <v>44876.416666666351</v>
      </c>
      <c r="CA134" s="57"/>
      <c r="CB134" s="315"/>
      <c r="CC134" s="315"/>
    </row>
    <row r="135" spans="1:81" x14ac:dyDescent="0.2">
      <c r="A135" s="225">
        <f ca="1">TblConstr[[#This Row],[Land]]</f>
        <v>250</v>
      </c>
      <c r="B135" s="145"/>
      <c r="C135" s="97">
        <f ca="1">TblProd[[#This Row],[Platinum]]</f>
        <v>728077</v>
      </c>
      <c r="D135" s="97">
        <f ca="1">TblProd[[#This Row],[Lumber]]</f>
        <v>70371</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44876.458333333016</v>
      </c>
      <c r="M135" s="62">
        <f>IF(ISERROR(TblImps[[#This Row],[algorithm]]),0,TblImps[[#This Row],[algorithm]]*1)</f>
        <v>0</v>
      </c>
      <c r="N135" s="97">
        <f ca="1">TblImps[[#This Row],[Land]]</f>
        <v>250</v>
      </c>
      <c r="O135" s="308" t="s">
        <v>4</v>
      </c>
      <c r="P135" s="309"/>
      <c r="Q135" s="308" t="s">
        <v>216</v>
      </c>
      <c r="R135" s="308" t="s">
        <v>7</v>
      </c>
      <c r="S135" s="309"/>
      <c r="T135" s="308" t="s">
        <v>216</v>
      </c>
      <c r="U135" s="308" t="s">
        <v>3</v>
      </c>
      <c r="V135" s="309"/>
      <c r="W135" s="308" t="s">
        <v>216</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44876.458333333016</v>
      </c>
      <c r="BZ135" s="317">
        <f ca="1">OFFSET(TblImps[[#This Row],[Servertime]],-1,0)+1/24</f>
        <v>44876.458333333016</v>
      </c>
      <c r="CA135" s="57"/>
      <c r="CB135" s="315"/>
      <c r="CC135" s="315"/>
    </row>
    <row r="136" spans="1:81" x14ac:dyDescent="0.2">
      <c r="A136" s="225">
        <f ca="1">TblConstr[[#This Row],[Land]]</f>
        <v>250</v>
      </c>
      <c r="B136" s="145"/>
      <c r="C136" s="97">
        <f ca="1">TblProd[[#This Row],[Platinum]]</f>
        <v>733563</v>
      </c>
      <c r="D136" s="97">
        <f ca="1">TblProd[[#This Row],[Lumber]]</f>
        <v>70667</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44876.49999999968</v>
      </c>
      <c r="M136" s="62">
        <f>IF(ISERROR(TblImps[[#This Row],[algorithm]]),0,TblImps[[#This Row],[algorithm]]*1)</f>
        <v>0</v>
      </c>
      <c r="N136" s="97">
        <f ca="1">TblImps[[#This Row],[Land]]</f>
        <v>250</v>
      </c>
      <c r="O136" s="308" t="s">
        <v>4</v>
      </c>
      <c r="P136" s="309"/>
      <c r="Q136" s="308" t="s">
        <v>216</v>
      </c>
      <c r="R136" s="308" t="s">
        <v>7</v>
      </c>
      <c r="S136" s="309"/>
      <c r="T136" s="308" t="s">
        <v>216</v>
      </c>
      <c r="U136" s="308" t="s">
        <v>3</v>
      </c>
      <c r="V136" s="309"/>
      <c r="W136" s="308" t="s">
        <v>216</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44876.49999999968</v>
      </c>
      <c r="BZ136" s="317">
        <f ca="1">OFFSET(TblImps[[#This Row],[Servertime]],-1,0)+1/24</f>
        <v>44876.49999999968</v>
      </c>
      <c r="CA136" s="57"/>
      <c r="CB136" s="315"/>
      <c r="CC136" s="315"/>
    </row>
    <row r="1269" spans="2:23" x14ac:dyDescent="0.2">
      <c r="B1269" s="495" t="s">
        <v>321</v>
      </c>
      <c r="C1269" s="448"/>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479</v>
      </c>
      <c r="P16" s="39"/>
    </row>
    <row r="27" spans="8:9" ht="12.75" customHeight="1" x14ac:dyDescent="0.2"/>
    <row r="28" spans="8:9" x14ac:dyDescent="0.2">
      <c r="H28" s="28" t="s">
        <v>479</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262</v>
      </c>
      <c r="C2" s="41" t="s">
        <v>1023</v>
      </c>
      <c r="D2" s="41" t="s">
        <v>954</v>
      </c>
      <c r="E2" s="41" t="s">
        <v>1025</v>
      </c>
    </row>
    <row r="3" spans="2:5" ht="15.75" x14ac:dyDescent="0.25">
      <c r="B3" s="40" t="s">
        <v>1002</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1003</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1005</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1004</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1006</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1007</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1008</v>
      </c>
      <c r="C9" s="42" t="s">
        <v>353</v>
      </c>
      <c r="D9" s="40">
        <f>_xlfn.IFNA(INDEX(TblConstr[],MATCH(Log!$I$28,TblConstr[Hour],0),MATCH(TblStats[[#This Row],[Abbr]],TblConstr[#Headers],0)),0)</f>
        <v>0</v>
      </c>
      <c r="E9" s="43" t="e">
        <f>TblStats[[#This Row],[Number]]/INDEX(TblConstr[[Hour]:[Land]],MATCH(Log!$I$28,TblConstr[Hour],0),6)</f>
        <v>#N/A</v>
      </c>
    </row>
    <row r="10" spans="2:5" ht="15.75" x14ac:dyDescent="0.25">
      <c r="B10" s="40" t="s">
        <v>1009</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1010</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1011</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1012</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1013</v>
      </c>
      <c r="C14" s="42" t="s">
        <v>355</v>
      </c>
      <c r="D14" s="40">
        <f>_xlfn.IFNA(INDEX(TblConstr[],MATCH(Log!$I$28,TblConstr[Hour],0),MATCH(TblStats[[#This Row],[Abbr]],TblConstr[#Headers],0)),0)</f>
        <v>0</v>
      </c>
      <c r="E14" s="43" t="e">
        <f>TblStats[[#This Row],[Number]]/INDEX(TblConstr[[Hour]:[Land]],MATCH(Log!$I$28,TblConstr[Hour],0),6)</f>
        <v>#N/A</v>
      </c>
    </row>
    <row r="15" spans="2:5" ht="15.75" x14ac:dyDescent="0.25">
      <c r="B15" s="40" t="s">
        <v>1014</v>
      </c>
      <c r="C15" s="42" t="s">
        <v>358</v>
      </c>
      <c r="D15" s="40">
        <f>_xlfn.IFNA(INDEX(TblConstr[],MATCH(Log!$I$28,TblConstr[Hour],0),MATCH(TblStats[[#This Row],[Abbr]],TblConstr[#Headers],0)),0)</f>
        <v>0</v>
      </c>
      <c r="E15" s="43" t="e">
        <f>TblStats[[#This Row],[Number]]/INDEX(TblConstr[[Hour]:[Land]],MATCH(Log!$I$28,TblConstr[Hour],0),6)</f>
        <v>#N/A</v>
      </c>
    </row>
    <row r="16" spans="2:5" ht="15.75" x14ac:dyDescent="0.25">
      <c r="B16" s="40" t="s">
        <v>1015</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1016</v>
      </c>
      <c r="C17" s="42" t="s">
        <v>356</v>
      </c>
      <c r="D17" s="40">
        <f>_xlfn.IFNA(INDEX(TblConstr[],MATCH(Log!$I$28,TblConstr[Hour],0),MATCH(TblStats[[#This Row],[Abbr]],TblConstr[#Headers],0)),0)</f>
        <v>0</v>
      </c>
      <c r="E17" s="43" t="e">
        <f>TblStats[[#This Row],[Number]]/INDEX(TblConstr[[Hour]:[Land]],MATCH(Log!$I$28,TblConstr[Hour],0),6)</f>
        <v>#N/A</v>
      </c>
    </row>
    <row r="18" spans="2:12" ht="15.75" x14ac:dyDescent="0.25">
      <c r="B18" s="40" t="s">
        <v>1017</v>
      </c>
      <c r="C18" s="42" t="s">
        <v>302</v>
      </c>
      <c r="D18" s="40">
        <f>_xlfn.IFNA(INDEX(TblConstr[],MATCH(Log!$I$28,TblConstr[Hour],0),MATCH(TblStats[[#This Row],[Abbr]],TblConstr[#Headers],0)),0)</f>
        <v>0</v>
      </c>
      <c r="E18" s="43" t="e">
        <f>TblStats[[#This Row],[Number]]/INDEX(TblConstr[[Hour]:[Land]],MATCH(Log!$I$28,TblConstr[Hour],0),6)</f>
        <v>#N/A</v>
      </c>
    </row>
    <row r="19" spans="2:12" ht="15.75" x14ac:dyDescent="0.25">
      <c r="B19" s="40" t="s">
        <v>1018</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1019</v>
      </c>
      <c r="C20" s="42" t="s">
        <v>376</v>
      </c>
      <c r="D20" s="40">
        <f>_xlfn.IFNA(INDEX(TblConstr[],MATCH(Log!$I$28,TblConstr[Hour],0),MATCH(TblStats[[#This Row],[Abbr]],TblConstr[#Headers],0)),0)</f>
        <v>0</v>
      </c>
      <c r="E20" s="43" t="e">
        <f>TblStats[[#This Row],[Number]]/INDEX(TblConstr[[Hour]:[Land]],MATCH(Log!$I$28,TblConstr[Hour],0),6)</f>
        <v>#N/A</v>
      </c>
    </row>
    <row r="21" spans="2:12" ht="15.75" x14ac:dyDescent="0.25">
      <c r="B21" s="40" t="s">
        <v>1020</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1021</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1022</v>
      </c>
      <c r="C23" s="40" t="s">
        <v>1024</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1001</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topLeftCell="A67" zoomScale="70" zoomScaleNormal="70" workbookViewId="0">
      <selection activeCell="F90" sqref="F90"/>
    </sheetView>
  </sheetViews>
  <sheetFormatPr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543</v>
      </c>
      <c r="B11" s="45">
        <v>25</v>
      </c>
      <c r="C11" s="45" t="s">
        <v>8</v>
      </c>
    </row>
    <row r="12" spans="1:6" x14ac:dyDescent="0.2">
      <c r="A12" s="329" t="s">
        <v>67</v>
      </c>
      <c r="B12" s="266">
        <v>1.75</v>
      </c>
      <c r="C12" s="45" t="s">
        <v>518</v>
      </c>
      <c r="D12" s="159">
        <v>0.35</v>
      </c>
      <c r="E12" s="45" t="s">
        <v>443</v>
      </c>
    </row>
    <row r="13" spans="1:6" x14ac:dyDescent="0.2">
      <c r="A13" s="329" t="s">
        <v>65</v>
      </c>
      <c r="B13" s="266">
        <v>1.75</v>
      </c>
      <c r="C13" s="45" t="s">
        <v>519</v>
      </c>
      <c r="D13" s="159">
        <v>0.35</v>
      </c>
      <c r="E13" s="45" t="s">
        <v>443</v>
      </c>
    </row>
    <row r="14" spans="1:6" x14ac:dyDescent="0.2">
      <c r="A14" s="329" t="s">
        <v>488</v>
      </c>
      <c r="B14" s="45">
        <v>0</v>
      </c>
      <c r="C14" s="45" t="s">
        <v>489</v>
      </c>
      <c r="D14" s="330"/>
      <c r="F14" s="159"/>
    </row>
    <row r="15" spans="1:6" x14ac:dyDescent="0.2">
      <c r="B15" s="45">
        <v>3.5</v>
      </c>
      <c r="C15" s="45" t="s">
        <v>490</v>
      </c>
      <c r="D15" s="331">
        <v>0.35</v>
      </c>
      <c r="E15" s="45" t="s">
        <v>443</v>
      </c>
      <c r="F15" s="159"/>
    </row>
    <row r="16" spans="1:6" x14ac:dyDescent="0.2">
      <c r="A16" s="329" t="s">
        <v>485</v>
      </c>
      <c r="B16" s="45">
        <v>0</v>
      </c>
      <c r="C16" s="45" t="s">
        <v>492</v>
      </c>
      <c r="D16" s="331">
        <v>0</v>
      </c>
      <c r="E16" s="45" t="s">
        <v>443</v>
      </c>
      <c r="F16" s="159"/>
    </row>
    <row r="17" spans="1:19" x14ac:dyDescent="0.2">
      <c r="B17" s="45">
        <v>3.5</v>
      </c>
      <c r="C17" s="45" t="s">
        <v>491</v>
      </c>
      <c r="D17" s="331">
        <v>0.35</v>
      </c>
      <c r="E17" s="45" t="s">
        <v>443</v>
      </c>
      <c r="F17" s="159"/>
    </row>
    <row r="18" spans="1:19" x14ac:dyDescent="0.2">
      <c r="B18" s="45">
        <v>15</v>
      </c>
      <c r="C18" s="45" t="s">
        <v>13</v>
      </c>
      <c r="D18" s="331"/>
      <c r="F18" s="159"/>
    </row>
    <row r="19" spans="1:19" x14ac:dyDescent="0.2">
      <c r="A19" s="329" t="s">
        <v>189</v>
      </c>
      <c r="B19" s="45">
        <v>2</v>
      </c>
      <c r="C19" s="45" t="s">
        <v>444</v>
      </c>
      <c r="D19" s="159">
        <v>0.36</v>
      </c>
      <c r="E19" s="45" t="s">
        <v>443</v>
      </c>
    </row>
    <row r="20" spans="1:19" x14ac:dyDescent="0.2">
      <c r="A20" s="329" t="s">
        <v>459</v>
      </c>
      <c r="B20" s="45">
        <v>2.75</v>
      </c>
      <c r="C20" s="45" t="s">
        <v>493</v>
      </c>
    </row>
    <row r="21" spans="1:19" x14ac:dyDescent="0.2">
      <c r="A21" s="329" t="s">
        <v>460</v>
      </c>
      <c r="B21" s="332">
        <v>4</v>
      </c>
      <c r="C21" s="45" t="s">
        <v>461</v>
      </c>
      <c r="D21" s="159">
        <v>0.6</v>
      </c>
      <c r="E21" s="45" t="s">
        <v>443</v>
      </c>
    </row>
    <row r="22" spans="1:19" x14ac:dyDescent="0.2">
      <c r="B22" s="332">
        <v>4</v>
      </c>
      <c r="C22" s="45" t="s">
        <v>462</v>
      </c>
      <c r="D22" s="159">
        <v>0.6</v>
      </c>
      <c r="E22" s="45" t="s">
        <v>443</v>
      </c>
    </row>
    <row r="23" spans="1:19" x14ac:dyDescent="0.2">
      <c r="A23" s="329" t="s">
        <v>1093</v>
      </c>
      <c r="B23" s="332"/>
      <c r="C23" s="45" t="s">
        <v>1094</v>
      </c>
      <c r="D23" s="159">
        <v>0.5</v>
      </c>
      <c r="E23" s="45" t="s">
        <v>443</v>
      </c>
    </row>
    <row r="24" spans="1:19" x14ac:dyDescent="0.2">
      <c r="A24" s="328" t="s">
        <v>80</v>
      </c>
    </row>
    <row r="25" spans="1:19" x14ac:dyDescent="0.2">
      <c r="A25" s="333" t="s">
        <v>72</v>
      </c>
      <c r="B25" s="333" t="s">
        <v>71</v>
      </c>
      <c r="C25" s="333" t="s">
        <v>70</v>
      </c>
      <c r="D25" s="333" t="s">
        <v>69</v>
      </c>
      <c r="E25" s="333" t="s">
        <v>68</v>
      </c>
      <c r="F25" s="334" t="s">
        <v>63</v>
      </c>
      <c r="G25" s="334" t="s">
        <v>353</v>
      </c>
      <c r="H25" s="335" t="s">
        <v>64</v>
      </c>
      <c r="I25" s="335" t="s">
        <v>65</v>
      </c>
      <c r="J25" s="336" t="s">
        <v>66</v>
      </c>
      <c r="K25" s="336" t="s">
        <v>67</v>
      </c>
      <c r="L25" s="336" t="s">
        <v>355</v>
      </c>
      <c r="M25" s="337" t="s">
        <v>358</v>
      </c>
      <c r="N25" s="338" t="s">
        <v>74</v>
      </c>
      <c r="O25" s="338" t="s">
        <v>356</v>
      </c>
      <c r="P25" s="338" t="s">
        <v>516</v>
      </c>
      <c r="Q25" s="339" t="s">
        <v>75</v>
      </c>
      <c r="R25" s="339" t="s">
        <v>376</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182</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239</v>
      </c>
      <c r="E32" s="5"/>
      <c r="F32" s="5"/>
      <c r="G32" s="5"/>
      <c r="H32" s="5"/>
      <c r="I32" s="5"/>
      <c r="J32" s="5"/>
      <c r="K32" s="5"/>
      <c r="L32" s="5" t="s">
        <v>401</v>
      </c>
      <c r="M32" s="5"/>
      <c r="N32" s="5"/>
      <c r="O32" s="5"/>
      <c r="P32" s="5"/>
      <c r="Q32" s="5"/>
      <c r="R32" s="5"/>
      <c r="S32" s="5"/>
    </row>
    <row r="33" spans="1:16" x14ac:dyDescent="0.2">
      <c r="A33" s="329" t="s">
        <v>21</v>
      </c>
      <c r="B33" s="45">
        <f>HLOOKUP(1,E33:J37,2)</f>
        <v>1300</v>
      </c>
      <c r="D33" s="45" t="s">
        <v>442</v>
      </c>
      <c r="E33" s="45">
        <v>1</v>
      </c>
      <c r="F33" s="45">
        <v>2</v>
      </c>
      <c r="G33" s="45">
        <v>3</v>
      </c>
      <c r="H33" s="45">
        <v>4</v>
      </c>
      <c r="I33" s="45">
        <v>5</v>
      </c>
      <c r="J33" s="45">
        <v>6</v>
      </c>
      <c r="L33" s="45" t="s">
        <v>391</v>
      </c>
      <c r="M33" s="159">
        <v>0.1</v>
      </c>
      <c r="N33" s="45" t="s">
        <v>402</v>
      </c>
    </row>
    <row r="34" spans="1:16" x14ac:dyDescent="0.2">
      <c r="A34" s="329" t="s">
        <v>24</v>
      </c>
      <c r="B34" s="45">
        <v>100</v>
      </c>
      <c r="D34" s="45" t="s">
        <v>21</v>
      </c>
      <c r="E34" s="97">
        <v>1300</v>
      </c>
      <c r="F34" s="97">
        <v>1390</v>
      </c>
      <c r="G34" s="97">
        <v>1480</v>
      </c>
      <c r="H34" s="97">
        <v>1570</v>
      </c>
      <c r="I34" s="97">
        <v>1660</v>
      </c>
      <c r="J34" s="97">
        <v>1750</v>
      </c>
      <c r="K34" s="97"/>
      <c r="M34" s="159">
        <v>0.05</v>
      </c>
      <c r="N34" s="45" t="s">
        <v>403</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404</v>
      </c>
    </row>
    <row r="36" spans="1:16" x14ac:dyDescent="0.2">
      <c r="A36" s="329" t="str">
        <f>Overview!$A23</f>
        <v>Archer</v>
      </c>
      <c r="B36" s="45">
        <v>150</v>
      </c>
      <c r="D36" s="45" t="s">
        <v>5</v>
      </c>
      <c r="E36" s="97">
        <v>15000</v>
      </c>
      <c r="F36" s="97">
        <v>16000</v>
      </c>
      <c r="G36" s="97">
        <v>17000</v>
      </c>
      <c r="H36" s="97">
        <v>18000</v>
      </c>
      <c r="I36" s="97">
        <v>19000</v>
      </c>
      <c r="J36" s="97">
        <v>20000</v>
      </c>
      <c r="L36" s="45" t="s">
        <v>181</v>
      </c>
      <c r="M36" s="159">
        <v>-0.05</v>
      </c>
      <c r="N36" s="45" t="s">
        <v>405</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406</v>
      </c>
    </row>
    <row r="38" spans="1:16" x14ac:dyDescent="0.2">
      <c r="A38" s="329" t="str">
        <f>Overview!$A25</f>
        <v>Cavalry</v>
      </c>
      <c r="B38" s="45">
        <v>0</v>
      </c>
      <c r="M38" s="159">
        <v>-0.1</v>
      </c>
      <c r="N38" s="45" t="s">
        <v>405</v>
      </c>
      <c r="O38" s="45">
        <v>-2</v>
      </c>
      <c r="P38" s="45" t="s">
        <v>406</v>
      </c>
    </row>
    <row r="39" spans="1:16" x14ac:dyDescent="0.2">
      <c r="A39" s="329" t="s">
        <v>25</v>
      </c>
      <c r="B39" s="45">
        <v>25</v>
      </c>
      <c r="D39" s="45" t="s">
        <v>375</v>
      </c>
      <c r="E39" s="97">
        <v>1</v>
      </c>
      <c r="F39" s="45">
        <v>2</v>
      </c>
      <c r="G39" s="45">
        <v>3</v>
      </c>
      <c r="H39" s="45">
        <v>4</v>
      </c>
      <c r="I39" s="45">
        <v>5</v>
      </c>
      <c r="J39" s="45">
        <v>6</v>
      </c>
      <c r="L39" s="45" t="s">
        <v>284</v>
      </c>
      <c r="M39" s="159">
        <v>-0.1</v>
      </c>
      <c r="N39" s="45" t="s">
        <v>407</v>
      </c>
    </row>
    <row r="40" spans="1:16" x14ac:dyDescent="0.2">
      <c r="A40" s="329" t="s">
        <v>1117</v>
      </c>
      <c r="B40" s="45">
        <v>0</v>
      </c>
      <c r="D40" s="45" t="s">
        <v>21</v>
      </c>
      <c r="E40" s="45">
        <v>1200</v>
      </c>
      <c r="F40" s="45">
        <v>1325</v>
      </c>
      <c r="G40" s="45">
        <v>1450</v>
      </c>
      <c r="H40" s="45">
        <v>1575</v>
      </c>
      <c r="I40" s="45">
        <v>1700</v>
      </c>
      <c r="J40" s="45">
        <v>1825</v>
      </c>
      <c r="M40" s="159">
        <v>-0.1</v>
      </c>
      <c r="N40" s="45" t="s">
        <v>408</v>
      </c>
    </row>
    <row r="41" spans="1:16" x14ac:dyDescent="0.2">
      <c r="A41" s="329" t="s">
        <v>26</v>
      </c>
      <c r="B41" s="45">
        <v>25</v>
      </c>
      <c r="D41" s="45" t="s">
        <v>2</v>
      </c>
      <c r="E41" s="45">
        <v>100000</v>
      </c>
      <c r="F41" s="45">
        <v>104750</v>
      </c>
      <c r="G41" s="45">
        <v>109500</v>
      </c>
      <c r="H41" s="45">
        <v>114250</v>
      </c>
      <c r="I41" s="45">
        <v>119000</v>
      </c>
      <c r="J41" s="45">
        <v>123750</v>
      </c>
      <c r="M41" s="159">
        <v>0.02</v>
      </c>
      <c r="N41" s="45" t="s">
        <v>409</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410</v>
      </c>
    </row>
    <row r="43" spans="1:16" x14ac:dyDescent="0.2">
      <c r="D43" s="45" t="s">
        <v>7</v>
      </c>
      <c r="E43" s="45">
        <v>15000</v>
      </c>
      <c r="F43" s="45">
        <v>15450</v>
      </c>
      <c r="G43" s="45">
        <v>15900</v>
      </c>
      <c r="H43" s="45">
        <v>16350</v>
      </c>
      <c r="I43" s="45">
        <v>16800</v>
      </c>
      <c r="J43" s="45">
        <v>17250</v>
      </c>
      <c r="M43" s="159">
        <v>-0.1</v>
      </c>
      <c r="N43" s="45" t="s">
        <v>411</v>
      </c>
    </row>
    <row r="44" spans="1:16" x14ac:dyDescent="0.2">
      <c r="A44" s="328" t="s">
        <v>78</v>
      </c>
      <c r="C44" s="97"/>
      <c r="M44" s="159">
        <v>0.05</v>
      </c>
      <c r="N44" s="45" t="s">
        <v>299</v>
      </c>
    </row>
    <row r="45" spans="1:16" x14ac:dyDescent="0.2">
      <c r="A45" s="329" t="s">
        <v>2</v>
      </c>
      <c r="B45" s="97">
        <f>HLOOKUP(1,E33:J37,3)</f>
        <v>100000</v>
      </c>
      <c r="C45" s="97"/>
      <c r="D45" s="45" t="s">
        <v>447</v>
      </c>
      <c r="L45" s="45" t="s">
        <v>73</v>
      </c>
      <c r="M45" s="159">
        <v>-0.1</v>
      </c>
      <c r="N45" s="45" t="s">
        <v>412</v>
      </c>
    </row>
    <row r="46" spans="1:16" x14ac:dyDescent="0.2">
      <c r="A46" s="329" t="s">
        <v>5</v>
      </c>
      <c r="B46" s="97">
        <f>HLOOKUP(1,E33:J37,4)</f>
        <v>15000</v>
      </c>
      <c r="C46" s="97"/>
      <c r="D46" s="45" t="s">
        <v>21</v>
      </c>
      <c r="E46" s="45">
        <v>100</v>
      </c>
      <c r="M46" s="159">
        <v>-0.2</v>
      </c>
      <c r="N46" s="45" t="s">
        <v>413</v>
      </c>
    </row>
    <row r="47" spans="1:16" x14ac:dyDescent="0.2">
      <c r="A47" s="329" t="s">
        <v>81</v>
      </c>
      <c r="B47" s="97">
        <f>HLOOKUP(1,E33:J37,5)</f>
        <v>15000</v>
      </c>
      <c r="C47" s="97"/>
      <c r="D47" s="45" t="s">
        <v>2</v>
      </c>
      <c r="E47" s="45">
        <v>5000</v>
      </c>
      <c r="M47" s="45">
        <v>1</v>
      </c>
      <c r="N47" s="45" t="s">
        <v>414</v>
      </c>
    </row>
    <row r="48" spans="1:16" x14ac:dyDescent="0.2">
      <c r="A48" s="329" t="s">
        <v>12</v>
      </c>
      <c r="B48" s="97">
        <v>0</v>
      </c>
      <c r="C48" s="97"/>
      <c r="D48" s="45" t="s">
        <v>5</v>
      </c>
      <c r="E48" s="45">
        <v>1500</v>
      </c>
      <c r="L48" s="45" t="s">
        <v>187</v>
      </c>
      <c r="M48" s="159">
        <v>-0.1</v>
      </c>
      <c r="N48" s="45" t="s">
        <v>415</v>
      </c>
    </row>
    <row r="49" spans="1:21" x14ac:dyDescent="0.2">
      <c r="A49" s="329" t="s">
        <v>3</v>
      </c>
      <c r="B49" s="97">
        <v>0</v>
      </c>
      <c r="C49" s="97"/>
      <c r="D49" s="45" t="s">
        <v>7</v>
      </c>
      <c r="E49" s="45">
        <v>2500</v>
      </c>
      <c r="M49" s="159">
        <v>-0.2</v>
      </c>
      <c r="N49" s="45" t="s">
        <v>416</v>
      </c>
    </row>
    <row r="50" spans="1:21" x14ac:dyDescent="0.2">
      <c r="A50" s="329" t="s">
        <v>4</v>
      </c>
      <c r="B50" s="97">
        <v>10000</v>
      </c>
      <c r="C50" s="97"/>
      <c r="D50" s="45" t="s">
        <v>3</v>
      </c>
      <c r="E50" s="45">
        <v>2500</v>
      </c>
      <c r="M50" s="45">
        <v>1</v>
      </c>
      <c r="N50" s="45" t="s">
        <v>417</v>
      </c>
    </row>
    <row r="51" spans="1:21" x14ac:dyDescent="0.2">
      <c r="A51" s="329" t="s">
        <v>82</v>
      </c>
      <c r="B51" s="97">
        <v>0</v>
      </c>
      <c r="D51" s="45" t="s">
        <v>12</v>
      </c>
      <c r="E51" s="45">
        <v>1000</v>
      </c>
      <c r="L51" s="45" t="s">
        <v>392</v>
      </c>
      <c r="M51" s="159">
        <v>-0.1</v>
      </c>
      <c r="N51" s="45" t="s">
        <v>418</v>
      </c>
    </row>
    <row r="52" spans="1:21" x14ac:dyDescent="0.2">
      <c r="D52" s="45" t="s">
        <v>448</v>
      </c>
      <c r="E52" s="45">
        <v>30</v>
      </c>
      <c r="L52" s="45" t="s">
        <v>393</v>
      </c>
      <c r="M52" s="159">
        <v>0.2</v>
      </c>
      <c r="N52" s="45" t="s">
        <v>419</v>
      </c>
      <c r="O52" s="159">
        <v>0.1</v>
      </c>
      <c r="P52" s="45" t="s">
        <v>403</v>
      </c>
    </row>
    <row r="53" spans="1:21" x14ac:dyDescent="0.2">
      <c r="A53" s="328" t="s">
        <v>86</v>
      </c>
      <c r="D53" s="45" t="s">
        <v>449</v>
      </c>
      <c r="E53" s="45">
        <v>30</v>
      </c>
      <c r="L53" s="45" t="s">
        <v>394</v>
      </c>
      <c r="M53" s="160">
        <v>0.06</v>
      </c>
      <c r="N53" s="45" t="s">
        <v>409</v>
      </c>
    </row>
    <row r="54" spans="1:21" x14ac:dyDescent="0.2">
      <c r="A54" s="329" t="s">
        <v>21</v>
      </c>
      <c r="B54" s="342">
        <v>0.03</v>
      </c>
      <c r="L54" s="45" t="s">
        <v>395</v>
      </c>
      <c r="M54" s="121">
        <v>0.125</v>
      </c>
      <c r="N54" s="45" t="s">
        <v>404</v>
      </c>
    </row>
    <row r="55" spans="1:21" x14ac:dyDescent="0.2">
      <c r="A55" s="329" t="s">
        <v>24</v>
      </c>
      <c r="B55" s="342">
        <v>0.01</v>
      </c>
      <c r="L55" s="45" t="s">
        <v>396</v>
      </c>
      <c r="M55" s="159">
        <v>-0.3</v>
      </c>
      <c r="N55" s="45" t="s">
        <v>420</v>
      </c>
    </row>
    <row r="56" spans="1:21" x14ac:dyDescent="0.2">
      <c r="A56" s="329" t="s">
        <v>14</v>
      </c>
      <c r="B56" s="342">
        <v>0.01</v>
      </c>
      <c r="L56" s="45" t="s">
        <v>397</v>
      </c>
      <c r="M56" s="159">
        <v>-0.2</v>
      </c>
      <c r="N56" s="45" t="s">
        <v>405</v>
      </c>
      <c r="O56" s="159">
        <v>0.15</v>
      </c>
      <c r="P56" s="45" t="s">
        <v>421</v>
      </c>
    </row>
    <row r="57" spans="1:21" x14ac:dyDescent="0.2">
      <c r="A57" s="329" t="s">
        <v>16</v>
      </c>
      <c r="B57" s="342">
        <v>0.01</v>
      </c>
      <c r="L57" s="45" t="s">
        <v>398</v>
      </c>
      <c r="M57" s="159">
        <v>-0.25</v>
      </c>
      <c r="N57" s="45" t="s">
        <v>422</v>
      </c>
    </row>
    <row r="58" spans="1:21" x14ac:dyDescent="0.2">
      <c r="A58" s="329" t="s">
        <v>15</v>
      </c>
      <c r="B58" s="342">
        <v>0.02</v>
      </c>
      <c r="L58" s="45" t="s">
        <v>399</v>
      </c>
      <c r="M58" s="159">
        <v>0.1</v>
      </c>
      <c r="N58" s="45" t="s">
        <v>299</v>
      </c>
      <c r="O58" s="159">
        <v>0.15</v>
      </c>
      <c r="P58" s="45" t="s">
        <v>423</v>
      </c>
    </row>
    <row r="59" spans="1:21" x14ac:dyDescent="0.2">
      <c r="L59" s="45" t="s">
        <v>400</v>
      </c>
      <c r="M59" s="45">
        <v>3</v>
      </c>
      <c r="N59" s="45" t="s">
        <v>424</v>
      </c>
    </row>
    <row r="60" spans="1:21" x14ac:dyDescent="0.2">
      <c r="A60" s="329" t="s">
        <v>87</v>
      </c>
      <c r="B60" s="45">
        <v>0.25</v>
      </c>
      <c r="C60" s="45" t="s">
        <v>88</v>
      </c>
      <c r="U60" s="160"/>
    </row>
    <row r="61" spans="1:21" x14ac:dyDescent="0.2">
      <c r="A61" s="329" t="s">
        <v>171</v>
      </c>
      <c r="B61" s="45">
        <v>2.7</v>
      </c>
      <c r="C61" s="45" t="s">
        <v>172</v>
      </c>
      <c r="T61" s="111"/>
      <c r="U61" s="160"/>
    </row>
    <row r="62" spans="1:21" x14ac:dyDescent="0.2">
      <c r="L62" s="45" t="s">
        <v>33</v>
      </c>
      <c r="M62" s="45">
        <v>6.4</v>
      </c>
      <c r="N62" s="45" t="s">
        <v>478</v>
      </c>
      <c r="U62" s="160"/>
    </row>
    <row r="63" spans="1:21" x14ac:dyDescent="0.2">
      <c r="A63" s="328" t="s">
        <v>174</v>
      </c>
    </row>
    <row r="64" spans="1:21" x14ac:dyDescent="0.2">
      <c r="A64" s="329" t="s">
        <v>350</v>
      </c>
      <c r="B64" s="45">
        <v>35</v>
      </c>
      <c r="C64" s="45" t="s">
        <v>351</v>
      </c>
      <c r="D64" s="45" t="s">
        <v>352</v>
      </c>
      <c r="L64" s="45" t="s">
        <v>477</v>
      </c>
      <c r="M64" s="45">
        <v>3780</v>
      </c>
      <c r="U64" s="159"/>
    </row>
    <row r="65" spans="1:21" x14ac:dyDescent="0.2">
      <c r="A65" s="329" t="s">
        <v>176</v>
      </c>
      <c r="B65" s="45">
        <v>30</v>
      </c>
      <c r="C65" s="45" t="s">
        <v>275</v>
      </c>
    </row>
    <row r="66" spans="1:21" x14ac:dyDescent="0.2">
      <c r="A66" s="329" t="s">
        <v>484</v>
      </c>
      <c r="B66" s="45">
        <v>15</v>
      </c>
      <c r="C66" s="45" t="s">
        <v>275</v>
      </c>
      <c r="L66" s="5" t="s">
        <v>640</v>
      </c>
      <c r="U66" s="159"/>
    </row>
    <row r="67" spans="1:21" x14ac:dyDescent="0.2">
      <c r="A67" s="329" t="s">
        <v>354</v>
      </c>
      <c r="B67" s="45">
        <v>15</v>
      </c>
      <c r="C67" s="45" t="s">
        <v>275</v>
      </c>
      <c r="L67" s="111" t="s">
        <v>545</v>
      </c>
      <c r="M67" s="434">
        <v>2.5000000000000001E-2</v>
      </c>
      <c r="N67" s="45" t="s">
        <v>645</v>
      </c>
      <c r="U67" s="159"/>
    </row>
    <row r="68" spans="1:21" x14ac:dyDescent="0.2">
      <c r="A68" s="329" t="s">
        <v>175</v>
      </c>
      <c r="B68" s="45">
        <v>15</v>
      </c>
      <c r="C68" s="45" t="str">
        <f>C65</f>
        <v>peasants</v>
      </c>
      <c r="L68" s="111" t="s">
        <v>547</v>
      </c>
      <c r="M68" s="434">
        <v>7.4999999999999997E-2</v>
      </c>
      <c r="N68" s="45" t="s">
        <v>646</v>
      </c>
    </row>
    <row r="69" spans="1:21" x14ac:dyDescent="0.2">
      <c r="A69" s="329" t="s">
        <v>276</v>
      </c>
      <c r="B69" s="45">
        <f>IF(OR(Overview!$B$14="Halfling",Overview!$B$14="Dwarf",Overview!$B$14="Gnome"),10,IF(race="Nomad",25,5))</f>
        <v>5</v>
      </c>
      <c r="L69" s="45" t="s">
        <v>549</v>
      </c>
      <c r="M69" s="2">
        <v>0.05</v>
      </c>
      <c r="N69" s="45" t="s">
        <v>647</v>
      </c>
    </row>
    <row r="70" spans="1:21" x14ac:dyDescent="0.2">
      <c r="L70" s="45" t="s">
        <v>551</v>
      </c>
      <c r="M70" s="434">
        <v>7.4999999999999997E-2</v>
      </c>
      <c r="N70" s="45" t="s">
        <v>645</v>
      </c>
      <c r="T70" s="111"/>
      <c r="U70" s="160"/>
    </row>
    <row r="71" spans="1:21" x14ac:dyDescent="0.2">
      <c r="A71" s="343" t="s">
        <v>277</v>
      </c>
      <c r="L71" s="45" t="s">
        <v>553</v>
      </c>
      <c r="M71" s="434">
        <v>2.5000000000000001E-2</v>
      </c>
      <c r="N71" s="45" t="s">
        <v>648</v>
      </c>
      <c r="U71" s="160"/>
    </row>
    <row r="72" spans="1:21" x14ac:dyDescent="0.2">
      <c r="A72" s="329" t="str">
        <f>CONCATENATE("Your race is ",Overview!B14)</f>
        <v>Your race is Human</v>
      </c>
      <c r="L72" s="45" t="s">
        <v>555</v>
      </c>
      <c r="M72" s="2">
        <v>0.05</v>
      </c>
      <c r="N72" s="45" t="s">
        <v>684</v>
      </c>
      <c r="S72" s="111"/>
      <c r="T72" s="111"/>
      <c r="U72" s="159"/>
    </row>
    <row r="73" spans="1:21" x14ac:dyDescent="0.2">
      <c r="L73" s="45" t="s">
        <v>556</v>
      </c>
      <c r="M73" s="2">
        <v>0.1</v>
      </c>
      <c r="N73" s="45" t="s">
        <v>769</v>
      </c>
      <c r="S73" s="111"/>
      <c r="T73" s="111"/>
      <c r="U73" s="159"/>
    </row>
    <row r="74" spans="1:21" x14ac:dyDescent="0.2">
      <c r="A74" s="328" t="s">
        <v>207</v>
      </c>
      <c r="B74" s="45" t="s">
        <v>278</v>
      </c>
      <c r="F74" s="45" t="s">
        <v>212</v>
      </c>
      <c r="L74" s="45" t="s">
        <v>557</v>
      </c>
      <c r="M74" s="2">
        <v>-0.1</v>
      </c>
      <c r="N74" s="45" t="s">
        <v>682</v>
      </c>
      <c r="O74" s="45" t="s">
        <v>651</v>
      </c>
      <c r="S74" s="111"/>
      <c r="T74" s="111"/>
      <c r="U74" s="159"/>
    </row>
    <row r="75" spans="1:21" x14ac:dyDescent="0.2">
      <c r="A75" s="329" t="s">
        <v>202</v>
      </c>
      <c r="B75" s="45">
        <v>2</v>
      </c>
      <c r="C75" s="45" t="s">
        <v>208</v>
      </c>
      <c r="D75" s="342"/>
      <c r="F75" s="342">
        <v>0.1</v>
      </c>
      <c r="G75" s="45" t="s">
        <v>107</v>
      </c>
      <c r="L75" s="45" t="s">
        <v>558</v>
      </c>
      <c r="M75" s="2">
        <v>-0.05</v>
      </c>
      <c r="N75" s="45" t="s">
        <v>689</v>
      </c>
      <c r="O75" s="159">
        <v>-0.15</v>
      </c>
      <c r="P75" s="45" t="s">
        <v>666</v>
      </c>
      <c r="S75" s="111"/>
      <c r="T75" s="111"/>
      <c r="U75" s="160"/>
    </row>
    <row r="76" spans="1:21" x14ac:dyDescent="0.2">
      <c r="A76" s="329" t="s">
        <v>203</v>
      </c>
      <c r="B76" s="45">
        <v>2</v>
      </c>
      <c r="C76" s="45" t="s">
        <v>208</v>
      </c>
      <c r="D76" s="342"/>
      <c r="F76" s="342">
        <v>0.1</v>
      </c>
      <c r="G76" s="45" t="s">
        <v>110</v>
      </c>
      <c r="L76" s="45" t="s">
        <v>560</v>
      </c>
      <c r="M76" s="434">
        <v>-2.5000000000000001E-2</v>
      </c>
      <c r="N76" s="45" t="s">
        <v>652</v>
      </c>
      <c r="S76" s="111"/>
      <c r="T76" s="111"/>
      <c r="U76" s="159"/>
    </row>
    <row r="77" spans="1:21" x14ac:dyDescent="0.2">
      <c r="A77" s="329" t="s">
        <v>209</v>
      </c>
      <c r="B77" s="45">
        <v>2.5</v>
      </c>
      <c r="C77" s="45" t="s">
        <v>208</v>
      </c>
      <c r="D77" s="342"/>
      <c r="F77" s="342">
        <v>0.1</v>
      </c>
      <c r="G77" s="45" t="s">
        <v>32</v>
      </c>
      <c r="L77" s="45" t="s">
        <v>562</v>
      </c>
      <c r="M77" s="2">
        <v>-0.1</v>
      </c>
      <c r="N77" s="45" t="s">
        <v>770</v>
      </c>
      <c r="S77" s="111"/>
      <c r="T77" s="111"/>
    </row>
    <row r="78" spans="1:21" x14ac:dyDescent="0.2">
      <c r="A78" s="329" t="s">
        <v>206</v>
      </c>
      <c r="B78" s="45">
        <v>2.5</v>
      </c>
      <c r="C78" s="45" t="s">
        <v>208</v>
      </c>
      <c r="D78" s="342"/>
      <c r="F78" s="342">
        <v>0.5</v>
      </c>
      <c r="G78" s="45" t="s">
        <v>213</v>
      </c>
      <c r="M78"/>
      <c r="S78" s="111"/>
      <c r="T78" s="111"/>
    </row>
    <row r="79" spans="1:21" x14ac:dyDescent="0.2">
      <c r="A79" s="329" t="s">
        <v>210</v>
      </c>
      <c r="B79" s="45">
        <v>2.5</v>
      </c>
      <c r="C79" s="45" t="s">
        <v>208</v>
      </c>
      <c r="D79" s="342"/>
      <c r="F79" s="342">
        <v>0.1</v>
      </c>
      <c r="G79" s="45" t="s">
        <v>106</v>
      </c>
      <c r="L79" s="45" t="s">
        <v>563</v>
      </c>
      <c r="M79" s="434">
        <v>-0.1</v>
      </c>
      <c r="N79" s="45" t="s">
        <v>654</v>
      </c>
      <c r="S79" s="111"/>
      <c r="T79" s="111"/>
      <c r="U79" s="160"/>
    </row>
    <row r="80" spans="1:21" x14ac:dyDescent="0.2">
      <c r="A80" s="329" t="s">
        <v>537</v>
      </c>
      <c r="B80" s="45">
        <v>5</v>
      </c>
      <c r="C80" s="45" t="s">
        <v>208</v>
      </c>
      <c r="D80" s="342"/>
      <c r="F80" s="342">
        <v>0.2</v>
      </c>
      <c r="G80" s="45" t="s">
        <v>110</v>
      </c>
      <c r="H80" s="45" t="s">
        <v>252</v>
      </c>
      <c r="L80" s="45" t="s">
        <v>564</v>
      </c>
      <c r="M80" s="2">
        <v>0.15</v>
      </c>
      <c r="N80" s="45" t="s">
        <v>655</v>
      </c>
      <c r="S80" s="111"/>
      <c r="T80" s="111"/>
      <c r="U80" s="159"/>
    </row>
    <row r="81" spans="1:23" x14ac:dyDescent="0.2">
      <c r="A81" s="329" t="s">
        <v>538</v>
      </c>
      <c r="B81" s="45">
        <v>5</v>
      </c>
      <c r="C81" s="45" t="s">
        <v>208</v>
      </c>
      <c r="D81" s="342"/>
      <c r="F81" s="342">
        <v>0.3</v>
      </c>
      <c r="G81" s="45" t="s">
        <v>539</v>
      </c>
      <c r="L81" s="45" t="s">
        <v>565</v>
      </c>
      <c r="M81" s="2">
        <v>-0.05</v>
      </c>
      <c r="N81" s="45" t="s">
        <v>656</v>
      </c>
      <c r="S81" s="111"/>
      <c r="T81" s="111"/>
      <c r="U81" s="159"/>
    </row>
    <row r="82" spans="1:23" x14ac:dyDescent="0.2">
      <c r="A82" s="329" t="s">
        <v>267</v>
      </c>
      <c r="B82" s="45">
        <f>B80</f>
        <v>5</v>
      </c>
      <c r="C82" s="45" t="str">
        <f>C80</f>
        <v>* Landsize</v>
      </c>
      <c r="D82" s="159"/>
      <c r="F82" s="342">
        <v>0.2</v>
      </c>
      <c r="G82" s="45" t="s">
        <v>32</v>
      </c>
      <c r="H82" s="45" t="s">
        <v>264</v>
      </c>
      <c r="L82" s="45" t="s">
        <v>567</v>
      </c>
      <c r="M82" s="2">
        <v>-0.2</v>
      </c>
      <c r="N82" s="45" t="s">
        <v>657</v>
      </c>
      <c r="S82" s="111"/>
      <c r="T82" s="111"/>
      <c r="U82" s="159"/>
    </row>
    <row r="83" spans="1:23" x14ac:dyDescent="0.2">
      <c r="A83" s="329" t="s">
        <v>266</v>
      </c>
      <c r="B83" s="45">
        <f>B80</f>
        <v>5</v>
      </c>
      <c r="C83" s="45" t="str">
        <f>C80</f>
        <v>* Landsize</v>
      </c>
      <c r="D83" s="159"/>
      <c r="F83" s="342">
        <v>0.1</v>
      </c>
      <c r="G83" s="45" t="s">
        <v>31</v>
      </c>
      <c r="L83" s="45" t="s">
        <v>569</v>
      </c>
      <c r="M83" s="2">
        <v>0.01</v>
      </c>
      <c r="N83" s="45" t="s">
        <v>658</v>
      </c>
      <c r="O83" s="45" t="s">
        <v>651</v>
      </c>
      <c r="S83" s="111"/>
      <c r="T83" s="111"/>
      <c r="U83" s="159"/>
    </row>
    <row r="84" spans="1:23" x14ac:dyDescent="0.2">
      <c r="A84" s="329" t="s">
        <v>304</v>
      </c>
      <c r="B84" s="45">
        <v>5</v>
      </c>
      <c r="C84" s="45" t="str">
        <f t="shared" ref="C84:C90" si="0">C83</f>
        <v>* Landsize</v>
      </c>
      <c r="D84" s="159"/>
      <c r="F84" s="159">
        <v>0.2</v>
      </c>
      <c r="G84" s="45" t="s">
        <v>107</v>
      </c>
      <c r="H84" s="159">
        <v>0.1</v>
      </c>
      <c r="I84" s="45" t="s">
        <v>108</v>
      </c>
      <c r="L84" s="45" t="s">
        <v>570</v>
      </c>
      <c r="M84" s="29">
        <v>-2.5000000000000001E-2</v>
      </c>
      <c r="N84" s="45" t="s">
        <v>650</v>
      </c>
      <c r="O84" s="160">
        <v>-2.5000000000000001E-2</v>
      </c>
      <c r="P84" s="45" t="s">
        <v>771</v>
      </c>
      <c r="S84" s="111"/>
      <c r="T84" s="111"/>
    </row>
    <row r="85" spans="1:23" x14ac:dyDescent="0.2">
      <c r="A85" s="329" t="s">
        <v>341</v>
      </c>
      <c r="B85" s="45">
        <f>B84</f>
        <v>5</v>
      </c>
      <c r="C85" s="45" t="str">
        <f t="shared" si="0"/>
        <v>* Landsize</v>
      </c>
      <c r="D85" s="159"/>
      <c r="F85" s="159">
        <v>0.1</v>
      </c>
      <c r="G85" s="45" t="s">
        <v>31</v>
      </c>
      <c r="H85" s="159">
        <v>0.1</v>
      </c>
      <c r="I85" s="45" t="s">
        <v>32</v>
      </c>
      <c r="L85" s="45" t="s">
        <v>572</v>
      </c>
      <c r="M85">
        <v>1.25</v>
      </c>
      <c r="N85" s="45" t="s">
        <v>686</v>
      </c>
      <c r="S85" s="111"/>
      <c r="T85" s="111"/>
      <c r="U85" s="160"/>
    </row>
    <row r="86" spans="1:23" x14ac:dyDescent="0.2">
      <c r="A86" s="329" t="s">
        <v>340</v>
      </c>
      <c r="B86" s="45">
        <f>B85</f>
        <v>5</v>
      </c>
      <c r="C86" s="45" t="str">
        <f t="shared" si="0"/>
        <v>* Landsize</v>
      </c>
      <c r="D86" s="159"/>
      <c r="F86" s="159">
        <v>0.15</v>
      </c>
      <c r="G86" s="45" t="s">
        <v>32</v>
      </c>
      <c r="H86" s="159" t="s">
        <v>342</v>
      </c>
      <c r="L86" s="45" t="s">
        <v>574</v>
      </c>
      <c r="M86" s="2">
        <v>-0.15</v>
      </c>
      <c r="N86" s="45" t="s">
        <v>654</v>
      </c>
      <c r="S86" s="111"/>
      <c r="T86" s="111"/>
      <c r="U86" s="159"/>
    </row>
    <row r="87" spans="1:23" x14ac:dyDescent="0.2">
      <c r="A87" s="329" t="s">
        <v>347</v>
      </c>
      <c r="B87" s="45">
        <v>5</v>
      </c>
      <c r="C87" s="344" t="str">
        <f t="shared" si="0"/>
        <v>* Landsize</v>
      </c>
      <c r="D87" s="159"/>
      <c r="F87" s="262">
        <v>15</v>
      </c>
      <c r="G87" s="45" t="s">
        <v>348</v>
      </c>
      <c r="H87" s="159"/>
      <c r="L87" s="45" t="s">
        <v>575</v>
      </c>
      <c r="M87" s="434">
        <v>-2.5000000000000001E-2</v>
      </c>
      <c r="N87" s="45" t="s">
        <v>650</v>
      </c>
      <c r="O87" s="45">
        <v>-1</v>
      </c>
      <c r="P87" s="45" t="s">
        <v>683</v>
      </c>
      <c r="S87" s="111"/>
      <c r="T87" s="111"/>
      <c r="U87" s="159"/>
    </row>
    <row r="88" spans="1:23" x14ac:dyDescent="0.2">
      <c r="A88" s="329" t="s">
        <v>432</v>
      </c>
      <c r="B88" s="45">
        <v>5</v>
      </c>
      <c r="C88" s="45" t="str">
        <f t="shared" si="0"/>
        <v>* Landsize</v>
      </c>
      <c r="D88" s="159"/>
      <c r="F88" s="159">
        <v>0.05</v>
      </c>
      <c r="G88" s="45" t="s">
        <v>31</v>
      </c>
      <c r="L88" s="45" t="s">
        <v>576</v>
      </c>
      <c r="M88" s="434">
        <v>-2.5000000000000001E-2</v>
      </c>
      <c r="N88" s="45" t="s">
        <v>656</v>
      </c>
      <c r="S88" s="111"/>
      <c r="T88" s="111"/>
      <c r="U88" s="160"/>
    </row>
    <row r="89" spans="1:23" x14ac:dyDescent="0.2">
      <c r="A89" s="329" t="s">
        <v>1104</v>
      </c>
      <c r="B89" s="45">
        <v>5</v>
      </c>
      <c r="C89" s="45" t="str">
        <f t="shared" si="0"/>
        <v>* Landsize</v>
      </c>
      <c r="D89" s="121">
        <v>0.01</v>
      </c>
      <c r="E89" s="45" t="s">
        <v>364</v>
      </c>
      <c r="F89" s="159">
        <v>0.1</v>
      </c>
      <c r="G89" s="45" t="s">
        <v>1106</v>
      </c>
      <c r="M89"/>
      <c r="S89" s="111"/>
      <c r="T89" s="111"/>
    </row>
    <row r="90" spans="1:23" x14ac:dyDescent="0.2">
      <c r="A90" s="329" t="s">
        <v>1114</v>
      </c>
      <c r="B90" s="45">
        <v>5</v>
      </c>
      <c r="C90" s="45" t="str">
        <f t="shared" si="0"/>
        <v>* Landsize</v>
      </c>
      <c r="F90" s="159">
        <v>0.15</v>
      </c>
      <c r="G90" s="45" t="s">
        <v>106</v>
      </c>
      <c r="L90" s="45" t="s">
        <v>578</v>
      </c>
      <c r="M90" s="2">
        <v>0.05</v>
      </c>
      <c r="N90" s="45" t="s">
        <v>659</v>
      </c>
      <c r="S90" s="111"/>
      <c r="T90" s="111"/>
    </row>
    <row r="91" spans="1:23" x14ac:dyDescent="0.2">
      <c r="L91" s="45" t="s">
        <v>580</v>
      </c>
      <c r="M91" s="434">
        <v>2.5000000000000001E-2</v>
      </c>
      <c r="N91" s="45" t="s">
        <v>661</v>
      </c>
      <c r="S91" s="111"/>
      <c r="T91" s="111"/>
      <c r="U91" s="160"/>
    </row>
    <row r="92" spans="1:23" x14ac:dyDescent="0.2">
      <c r="A92" s="328" t="s">
        <v>82</v>
      </c>
      <c r="L92" s="45" t="s">
        <v>582</v>
      </c>
      <c r="M92" s="434">
        <v>7.4999999999999997E-2</v>
      </c>
      <c r="N92" s="45" t="s">
        <v>662</v>
      </c>
      <c r="O92" s="121">
        <v>7.4999999999999997E-2</v>
      </c>
      <c r="P92" s="45" t="s">
        <v>663</v>
      </c>
      <c r="S92" s="111"/>
      <c r="T92" s="111"/>
      <c r="U92" s="160"/>
      <c r="W92" s="159"/>
    </row>
    <row r="93" spans="1:23" x14ac:dyDescent="0.2">
      <c r="A93" s="329" t="s">
        <v>274</v>
      </c>
      <c r="B93" s="45">
        <f>IF(Overview!$B$14="Kobold",40,30)</f>
        <v>30</v>
      </c>
      <c r="C93" s="45" t="s">
        <v>245</v>
      </c>
      <c r="L93" s="45" t="s">
        <v>583</v>
      </c>
      <c r="M93" s="434">
        <v>7.4999999999999997E-2</v>
      </c>
      <c r="N93" s="45" t="s">
        <v>646</v>
      </c>
      <c r="O93" s="159">
        <v>0.05</v>
      </c>
      <c r="P93" s="45" t="s">
        <v>664</v>
      </c>
      <c r="S93" s="111"/>
      <c r="T93" s="111"/>
      <c r="U93" s="160"/>
      <c r="W93" s="159"/>
    </row>
    <row r="94" spans="1:23" x14ac:dyDescent="0.2">
      <c r="L94" s="45" t="s">
        <v>585</v>
      </c>
      <c r="M94" s="434">
        <v>-1.7500000000000002E-2</v>
      </c>
      <c r="N94" s="45" t="s">
        <v>649</v>
      </c>
      <c r="S94" s="111"/>
      <c r="T94" s="111"/>
    </row>
    <row r="95" spans="1:23" x14ac:dyDescent="0.2">
      <c r="A95" s="328" t="s">
        <v>357</v>
      </c>
      <c r="L95" s="45" t="s">
        <v>586</v>
      </c>
      <c r="M95" s="434">
        <v>1.4999999999999999E-2</v>
      </c>
      <c r="N95" s="45" t="s">
        <v>660</v>
      </c>
      <c r="S95" s="111"/>
      <c r="T95" s="111"/>
      <c r="U95" s="159"/>
    </row>
    <row r="96" spans="1:23" x14ac:dyDescent="0.2">
      <c r="A96" s="329" t="s">
        <v>511</v>
      </c>
      <c r="B96" s="45">
        <v>250</v>
      </c>
      <c r="L96" s="45" t="s">
        <v>587</v>
      </c>
      <c r="M96" s="434">
        <v>-7.4999999999999997E-2</v>
      </c>
      <c r="N96" s="45" t="s">
        <v>650</v>
      </c>
      <c r="O96" s="45">
        <v>-2</v>
      </c>
      <c r="P96" s="45" t="s">
        <v>683</v>
      </c>
      <c r="S96" s="111"/>
      <c r="T96" s="111"/>
      <c r="U96" s="160"/>
    </row>
    <row r="97" spans="1:23" x14ac:dyDescent="0.2">
      <c r="A97" s="329" t="s">
        <v>512</v>
      </c>
      <c r="B97" s="159">
        <v>0.01</v>
      </c>
      <c r="L97" s="45" t="s">
        <v>588</v>
      </c>
      <c r="M97" s="2">
        <v>-0.5</v>
      </c>
      <c r="N97" s="45" t="s">
        <v>665</v>
      </c>
      <c r="S97" s="111"/>
      <c r="T97" s="111"/>
      <c r="U97" s="159"/>
    </row>
    <row r="98" spans="1:23" x14ac:dyDescent="0.2">
      <c r="A98" s="329" t="s">
        <v>513</v>
      </c>
      <c r="B98" s="159">
        <v>0.01</v>
      </c>
      <c r="L98" s="45" t="s">
        <v>590</v>
      </c>
      <c r="M98" s="2">
        <v>-0.1</v>
      </c>
      <c r="N98" s="45" t="s">
        <v>653</v>
      </c>
      <c r="S98" s="111"/>
      <c r="T98" s="111"/>
      <c r="U98" s="159"/>
      <c r="W98" s="159"/>
    </row>
    <row r="99" spans="1:23" x14ac:dyDescent="0.2">
      <c r="A99" s="329" t="s">
        <v>514</v>
      </c>
      <c r="B99" s="159">
        <v>0.01</v>
      </c>
      <c r="M99"/>
      <c r="S99" s="111"/>
      <c r="T99" s="111"/>
    </row>
    <row r="100" spans="1:23" x14ac:dyDescent="0.2">
      <c r="L100" s="45" t="s">
        <v>592</v>
      </c>
      <c r="M100" s="434">
        <v>0.125</v>
      </c>
      <c r="N100" s="45" t="s">
        <v>667</v>
      </c>
      <c r="S100" s="111"/>
      <c r="T100" s="111"/>
      <c r="U100" s="160"/>
    </row>
    <row r="101" spans="1:23" x14ac:dyDescent="0.2">
      <c r="A101" s="328" t="s">
        <v>463</v>
      </c>
      <c r="L101" s="45" t="s">
        <v>593</v>
      </c>
      <c r="M101"/>
      <c r="N101" s="45" t="s">
        <v>641</v>
      </c>
      <c r="S101" s="111"/>
      <c r="T101" s="111"/>
    </row>
    <row r="102" spans="1:23" x14ac:dyDescent="0.2">
      <c r="L102" s="45" t="s">
        <v>594</v>
      </c>
      <c r="M102" s="434">
        <v>2.5000000000000001E-2</v>
      </c>
      <c r="N102" s="45" t="s">
        <v>661</v>
      </c>
      <c r="O102" s="160">
        <v>7.4999999999999997E-2</v>
      </c>
      <c r="P102" s="45" t="s">
        <v>659</v>
      </c>
      <c r="S102" s="111"/>
      <c r="T102" s="111"/>
      <c r="U102" s="160"/>
      <c r="W102" s="160"/>
    </row>
    <row r="103" spans="1:23" x14ac:dyDescent="0.2">
      <c r="A103" s="329" t="s">
        <v>464</v>
      </c>
      <c r="B103" s="45" t="s">
        <v>216</v>
      </c>
      <c r="D103" s="342">
        <v>0.3</v>
      </c>
      <c r="E103" s="45" t="s">
        <v>443</v>
      </c>
      <c r="L103" s="45" t="s">
        <v>595</v>
      </c>
      <c r="M103" s="2">
        <v>0.05</v>
      </c>
      <c r="N103" s="45" t="s">
        <v>648</v>
      </c>
      <c r="S103" s="111"/>
      <c r="T103" s="111"/>
      <c r="U103" s="159"/>
    </row>
    <row r="104" spans="1:23" x14ac:dyDescent="0.2">
      <c r="B104" s="45" t="s">
        <v>214</v>
      </c>
      <c r="D104" s="342">
        <v>0.2</v>
      </c>
      <c r="E104" s="45" t="s">
        <v>443</v>
      </c>
      <c r="L104" s="45" t="s">
        <v>596</v>
      </c>
      <c r="M104">
        <v>1</v>
      </c>
      <c r="N104" s="45" t="s">
        <v>1090</v>
      </c>
      <c r="S104" s="111"/>
      <c r="T104" s="111"/>
      <c r="U104" s="159"/>
    </row>
    <row r="105" spans="1:23" x14ac:dyDescent="0.2">
      <c r="B105" s="45" t="s">
        <v>465</v>
      </c>
      <c r="D105" s="342">
        <v>0.3</v>
      </c>
      <c r="E105" s="45" t="s">
        <v>443</v>
      </c>
      <c r="L105" s="45" t="s">
        <v>597</v>
      </c>
      <c r="M105" s="434">
        <v>-7.4999999999999997E-2</v>
      </c>
      <c r="N105" s="45" t="s">
        <v>656</v>
      </c>
      <c r="S105" s="111"/>
      <c r="T105" s="111"/>
      <c r="U105" s="159"/>
    </row>
    <row r="106" spans="1:23" x14ac:dyDescent="0.2">
      <c r="B106" s="45" t="s">
        <v>466</v>
      </c>
      <c r="D106" s="342">
        <v>0.6</v>
      </c>
      <c r="E106" s="45" t="s">
        <v>443</v>
      </c>
      <c r="L106" s="45" t="s">
        <v>599</v>
      </c>
      <c r="M106">
        <v>-1</v>
      </c>
      <c r="N106" s="45" t="s">
        <v>772</v>
      </c>
      <c r="S106" s="111"/>
      <c r="T106" s="111"/>
      <c r="U106" s="160"/>
    </row>
    <row r="107" spans="1:23" x14ac:dyDescent="0.2">
      <c r="L107" s="45" t="s">
        <v>601</v>
      </c>
      <c r="M107" s="2">
        <v>-0.2</v>
      </c>
      <c r="N107" s="45" t="s">
        <v>668</v>
      </c>
      <c r="S107" s="111"/>
      <c r="T107" s="111"/>
    </row>
    <row r="108" spans="1:23" x14ac:dyDescent="0.2">
      <c r="A108" s="329" t="s">
        <v>467</v>
      </c>
      <c r="B108" s="45" t="s">
        <v>216</v>
      </c>
      <c r="D108" s="45">
        <v>4000</v>
      </c>
      <c r="E108" s="45" t="s">
        <v>515</v>
      </c>
      <c r="M108"/>
    </row>
    <row r="109" spans="1:23" x14ac:dyDescent="0.2">
      <c r="B109" s="45" t="s">
        <v>214</v>
      </c>
      <c r="D109" s="45">
        <v>4000</v>
      </c>
      <c r="E109" s="45" t="s">
        <v>515</v>
      </c>
      <c r="L109" s="45" t="s">
        <v>602</v>
      </c>
      <c r="M109" s="434">
        <v>2.5000000000000001E-2</v>
      </c>
      <c r="N109" s="45" t="s">
        <v>1091</v>
      </c>
      <c r="O109" s="45" t="s">
        <v>670</v>
      </c>
      <c r="S109" s="111"/>
      <c r="T109" s="111"/>
      <c r="U109" s="159"/>
      <c r="W109" s="159"/>
    </row>
    <row r="110" spans="1:23" x14ac:dyDescent="0.2">
      <c r="B110" s="45" t="s">
        <v>465</v>
      </c>
      <c r="D110" s="45">
        <v>7500</v>
      </c>
      <c r="E110" s="45" t="s">
        <v>515</v>
      </c>
      <c r="L110" s="45" t="s">
        <v>603</v>
      </c>
      <c r="M110" s="2">
        <v>-0.2</v>
      </c>
      <c r="N110" s="45" t="s">
        <v>687</v>
      </c>
      <c r="O110" s="159">
        <v>-0.1</v>
      </c>
      <c r="P110" s="45" t="s">
        <v>669</v>
      </c>
      <c r="S110" s="111"/>
      <c r="T110" s="111"/>
    </row>
    <row r="111" spans="1:23" x14ac:dyDescent="0.2">
      <c r="B111" s="45" t="s">
        <v>535</v>
      </c>
      <c r="D111" s="45">
        <v>5000</v>
      </c>
      <c r="E111" s="45" t="s">
        <v>515</v>
      </c>
      <c r="L111" s="45" t="s">
        <v>604</v>
      </c>
      <c r="M111" s="434">
        <v>-1.7500000000000002E-2</v>
      </c>
      <c r="N111" s="45" t="s">
        <v>649</v>
      </c>
      <c r="S111" s="111"/>
      <c r="T111" s="111"/>
      <c r="U111" s="159"/>
    </row>
    <row r="112" spans="1:23" x14ac:dyDescent="0.2">
      <c r="B112" s="45" t="s">
        <v>217</v>
      </c>
      <c r="D112" s="45">
        <v>5000</v>
      </c>
      <c r="E112" s="45" t="s">
        <v>515</v>
      </c>
      <c r="L112" s="45" t="s">
        <v>605</v>
      </c>
      <c r="M112" s="434">
        <v>2.5000000000000001E-2</v>
      </c>
      <c r="N112" s="45" t="s">
        <v>679</v>
      </c>
      <c r="O112" s="160">
        <v>7.4999999999999997E-2</v>
      </c>
      <c r="P112" s="45" t="s">
        <v>671</v>
      </c>
      <c r="S112" s="111"/>
      <c r="T112" s="111"/>
      <c r="U112" s="160"/>
      <c r="W112" s="160"/>
    </row>
    <row r="113" spans="1:23" x14ac:dyDescent="0.2">
      <c r="L113" s="45" t="s">
        <v>606</v>
      </c>
      <c r="M113" s="434">
        <v>-1.7500000000000002E-2</v>
      </c>
      <c r="N113" s="45" t="s">
        <v>649</v>
      </c>
      <c r="S113" s="111"/>
      <c r="T113" s="111"/>
      <c r="U113" s="159"/>
    </row>
    <row r="114" spans="1:23" x14ac:dyDescent="0.2">
      <c r="A114" s="328" t="s">
        <v>468</v>
      </c>
      <c r="F114" s="45" t="s">
        <v>470</v>
      </c>
      <c r="L114" s="45" t="s">
        <v>607</v>
      </c>
      <c r="M114">
        <v>1</v>
      </c>
      <c r="N114" s="45" t="s">
        <v>685</v>
      </c>
      <c r="S114" s="111"/>
      <c r="T114" s="111"/>
      <c r="U114" s="159"/>
      <c r="W114" s="159"/>
    </row>
    <row r="115" spans="1:23" x14ac:dyDescent="0.2">
      <c r="A115" s="329" t="s">
        <v>125</v>
      </c>
      <c r="B115" s="253"/>
      <c r="C115" s="345">
        <v>0.2</v>
      </c>
      <c r="D115" s="45" t="s">
        <v>475</v>
      </c>
      <c r="F115" s="180" t="s">
        <v>474</v>
      </c>
      <c r="L115" s="45" t="s">
        <v>608</v>
      </c>
      <c r="M115" s="2">
        <v>-0.01</v>
      </c>
      <c r="N115" s="45" t="s">
        <v>673</v>
      </c>
      <c r="S115" s="111"/>
      <c r="T115" s="111"/>
      <c r="U115" s="159"/>
    </row>
    <row r="116" spans="1:23" x14ac:dyDescent="0.2">
      <c r="A116" s="329" t="s">
        <v>126</v>
      </c>
      <c r="B116" s="119" t="s">
        <v>299</v>
      </c>
      <c r="C116" s="345">
        <v>0.2</v>
      </c>
      <c r="D116" s="45" t="s">
        <v>475</v>
      </c>
      <c r="F116" s="180" t="s">
        <v>474</v>
      </c>
      <c r="M116"/>
      <c r="S116" s="111"/>
      <c r="T116" s="111"/>
    </row>
    <row r="117" spans="1:23" x14ac:dyDescent="0.2">
      <c r="B117" s="45" t="s">
        <v>298</v>
      </c>
      <c r="C117" s="121">
        <v>0.2</v>
      </c>
      <c r="D117" s="45" t="s">
        <v>475</v>
      </c>
      <c r="F117" s="180" t="s">
        <v>474</v>
      </c>
      <c r="L117" s="45" t="s">
        <v>609</v>
      </c>
      <c r="M117" s="434">
        <v>1.4999999999999999E-2</v>
      </c>
      <c r="N117" s="45" t="s">
        <v>660</v>
      </c>
      <c r="S117" s="111"/>
      <c r="T117" s="111"/>
      <c r="U117" s="160"/>
    </row>
    <row r="118" spans="1:23" x14ac:dyDescent="0.2">
      <c r="A118" s="329" t="s">
        <v>141</v>
      </c>
      <c r="B118" s="253"/>
      <c r="C118" s="345">
        <v>0.2</v>
      </c>
      <c r="D118" s="45" t="s">
        <v>475</v>
      </c>
      <c r="F118" s="180">
        <v>4</v>
      </c>
      <c r="L118" s="45" t="s">
        <v>610</v>
      </c>
      <c r="M118" s="434">
        <v>2.5000000000000001E-2</v>
      </c>
      <c r="N118" s="45" t="s">
        <v>661</v>
      </c>
      <c r="O118" s="159">
        <v>-0.05</v>
      </c>
      <c r="P118" s="45" t="s">
        <v>674</v>
      </c>
      <c r="S118" s="111"/>
      <c r="T118" s="111"/>
      <c r="U118" s="160"/>
      <c r="W118" s="159"/>
    </row>
    <row r="119" spans="1:23" x14ac:dyDescent="0.2">
      <c r="A119" s="329" t="s">
        <v>133</v>
      </c>
      <c r="B119" s="253"/>
      <c r="C119" s="345">
        <v>0.2</v>
      </c>
      <c r="D119" s="45" t="s">
        <v>476</v>
      </c>
      <c r="F119" s="180">
        <v>2</v>
      </c>
      <c r="L119" s="45" t="s">
        <v>612</v>
      </c>
      <c r="M119" s="2">
        <v>-0.05</v>
      </c>
      <c r="N119" s="45" t="s">
        <v>656</v>
      </c>
      <c r="O119" s="159">
        <v>-0.05</v>
      </c>
      <c r="P119" s="45" t="s">
        <v>669</v>
      </c>
      <c r="Q119" s="45">
        <v>5</v>
      </c>
      <c r="R119" s="45" t="s">
        <v>690</v>
      </c>
      <c r="S119" s="111"/>
      <c r="T119" s="111"/>
      <c r="U119" s="159"/>
      <c r="W119" s="159"/>
    </row>
    <row r="120" spans="1:23" x14ac:dyDescent="0.2">
      <c r="A120" s="329" t="s">
        <v>1096</v>
      </c>
      <c r="B120" s="119" t="s">
        <v>299</v>
      </c>
      <c r="C120" s="345">
        <v>0.1</v>
      </c>
      <c r="D120" s="45" t="s">
        <v>302</v>
      </c>
      <c r="F120" s="180">
        <v>0</v>
      </c>
      <c r="L120" s="45" t="s">
        <v>613</v>
      </c>
      <c r="M120" s="434">
        <v>-0.125</v>
      </c>
      <c r="N120" s="45" t="s">
        <v>675</v>
      </c>
      <c r="S120" s="111"/>
      <c r="T120" s="111"/>
      <c r="U120" s="160"/>
    </row>
    <row r="121" spans="1:23" x14ac:dyDescent="0.2">
      <c r="B121" s="45" t="s">
        <v>298</v>
      </c>
      <c r="C121" s="346">
        <v>0.1</v>
      </c>
      <c r="D121" s="45" t="s">
        <v>302</v>
      </c>
      <c r="F121" s="180">
        <v>0</v>
      </c>
      <c r="L121" s="45" t="s">
        <v>615</v>
      </c>
      <c r="M121" s="2">
        <v>0.01</v>
      </c>
      <c r="N121" s="45" t="s">
        <v>660</v>
      </c>
      <c r="O121" s="159">
        <v>0.1</v>
      </c>
      <c r="P121" s="45" t="s">
        <v>672</v>
      </c>
      <c r="S121" s="111"/>
      <c r="T121" s="111"/>
      <c r="U121" s="159"/>
    </row>
    <row r="122" spans="1:23" x14ac:dyDescent="0.2">
      <c r="A122" s="329" t="s">
        <v>469</v>
      </c>
      <c r="B122" s="253"/>
      <c r="C122" s="345">
        <v>0.2</v>
      </c>
      <c r="D122" s="45" t="s">
        <v>476</v>
      </c>
      <c r="F122" s="180">
        <v>3</v>
      </c>
      <c r="L122" s="45" t="s">
        <v>616</v>
      </c>
      <c r="M122" s="29">
        <v>7.4999999999999997E-2</v>
      </c>
      <c r="N122" s="45" t="s">
        <v>688</v>
      </c>
      <c r="O122" s="159">
        <v>-0.05</v>
      </c>
      <c r="P122" s="45" t="s">
        <v>676</v>
      </c>
      <c r="S122" s="111"/>
      <c r="T122" s="111"/>
      <c r="U122" s="159"/>
      <c r="W122" s="159"/>
    </row>
    <row r="123" spans="1:23" x14ac:dyDescent="0.2">
      <c r="A123" s="329" t="s">
        <v>339</v>
      </c>
      <c r="C123" s="180">
        <v>1</v>
      </c>
      <c r="D123" s="45" t="s">
        <v>471</v>
      </c>
      <c r="F123" s="180">
        <v>3</v>
      </c>
      <c r="M123"/>
      <c r="S123" s="111"/>
      <c r="T123" s="111"/>
    </row>
    <row r="124" spans="1:23" x14ac:dyDescent="0.2">
      <c r="A124" s="329" t="s">
        <v>381</v>
      </c>
      <c r="B124" s="180" t="s">
        <v>473</v>
      </c>
      <c r="C124" s="119">
        <v>500</v>
      </c>
      <c r="D124" s="45" t="s">
        <v>472</v>
      </c>
      <c r="F124" s="180">
        <v>0</v>
      </c>
      <c r="L124" s="45" t="s">
        <v>617</v>
      </c>
      <c r="M124" s="2">
        <v>0.3</v>
      </c>
      <c r="N124" s="45" t="s">
        <v>677</v>
      </c>
      <c r="S124" s="111"/>
      <c r="T124" s="111"/>
      <c r="U124" s="159"/>
    </row>
    <row r="125" spans="1:23" x14ac:dyDescent="0.2">
      <c r="A125" s="329" t="s">
        <v>363</v>
      </c>
      <c r="B125" s="180" t="s">
        <v>473</v>
      </c>
      <c r="C125" s="119">
        <v>250</v>
      </c>
      <c r="D125" s="45" t="s">
        <v>472</v>
      </c>
      <c r="F125" s="180">
        <v>3</v>
      </c>
      <c r="L125" s="45" t="s">
        <v>619</v>
      </c>
      <c r="M125">
        <v>1.25</v>
      </c>
      <c r="N125" s="45" t="s">
        <v>692</v>
      </c>
      <c r="S125" s="111"/>
      <c r="T125" s="111"/>
      <c r="U125" s="159"/>
    </row>
    <row r="126" spans="1:23" x14ac:dyDescent="0.2">
      <c r="A126" s="329" t="s">
        <v>430</v>
      </c>
      <c r="B126" s="253"/>
      <c r="C126" s="121">
        <v>0.12</v>
      </c>
      <c r="D126" s="45" t="s">
        <v>506</v>
      </c>
      <c r="F126" s="180">
        <v>3</v>
      </c>
      <c r="L126" s="45" t="s">
        <v>621</v>
      </c>
      <c r="M126" s="434">
        <v>-7.4999999999999997E-2</v>
      </c>
      <c r="N126" s="45" t="s">
        <v>676</v>
      </c>
      <c r="O126" s="160">
        <v>7.4999999999999997E-3</v>
      </c>
      <c r="P126" s="45" t="s">
        <v>773</v>
      </c>
      <c r="S126" s="111"/>
      <c r="T126" s="111"/>
      <c r="U126" s="159"/>
    </row>
    <row r="127" spans="1:23" x14ac:dyDescent="0.2">
      <c r="L127" s="45" t="s">
        <v>622</v>
      </c>
      <c r="M127" s="434">
        <v>2.5000000000000001E-2</v>
      </c>
      <c r="N127" s="45" t="s">
        <v>679</v>
      </c>
      <c r="S127" s="111"/>
      <c r="T127" s="111"/>
      <c r="U127" s="160"/>
    </row>
    <row r="128" spans="1:23" x14ac:dyDescent="0.2">
      <c r="A128" s="328" t="s">
        <v>270</v>
      </c>
      <c r="L128" s="45" t="s">
        <v>623</v>
      </c>
      <c r="M128" s="434">
        <v>-2.5000000000000001E-2</v>
      </c>
      <c r="N128" s="45" t="s">
        <v>652</v>
      </c>
      <c r="O128" s="5">
        <v>2</v>
      </c>
      <c r="P128" s="5" t="s">
        <v>691</v>
      </c>
      <c r="S128" s="111"/>
      <c r="T128" s="111"/>
      <c r="U128" s="160"/>
    </row>
    <row r="129" spans="1:23" x14ac:dyDescent="0.2">
      <c r="A129" s="329" t="s">
        <v>487</v>
      </c>
      <c r="B129" s="45">
        <v>20</v>
      </c>
      <c r="M129"/>
      <c r="S129" s="111"/>
      <c r="T129" s="111"/>
    </row>
    <row r="130" spans="1:23" x14ac:dyDescent="0.2">
      <c r="A130" s="329" t="s">
        <v>485</v>
      </c>
      <c r="B130" s="45">
        <v>0</v>
      </c>
      <c r="C130" s="45" t="s">
        <v>486</v>
      </c>
      <c r="L130" s="45" t="s">
        <v>625</v>
      </c>
      <c r="M130" s="2">
        <v>0.6</v>
      </c>
      <c r="N130" s="45" t="s">
        <v>774</v>
      </c>
      <c r="S130" s="111"/>
      <c r="T130" s="111"/>
    </row>
    <row r="131" spans="1:23" x14ac:dyDescent="0.2">
      <c r="L131" s="45" t="s">
        <v>626</v>
      </c>
      <c r="M131" s="434">
        <v>-7.4999999999999997E-2</v>
      </c>
      <c r="N131" s="45" t="s">
        <v>676</v>
      </c>
      <c r="S131" s="111"/>
      <c r="T131" s="111"/>
      <c r="U131" s="160"/>
    </row>
    <row r="132" spans="1:23" x14ac:dyDescent="0.2">
      <c r="A132" s="328" t="s">
        <v>775</v>
      </c>
      <c r="L132" s="45" t="s">
        <v>628</v>
      </c>
      <c r="M132">
        <v>2</v>
      </c>
      <c r="N132" s="45" t="s">
        <v>693</v>
      </c>
      <c r="S132" s="111"/>
      <c r="T132" s="111"/>
    </row>
    <row r="133" spans="1:23" x14ac:dyDescent="0.2">
      <c r="A133" s="329" t="s">
        <v>89</v>
      </c>
      <c r="B133" s="45" t="s">
        <v>3</v>
      </c>
      <c r="L133" s="45" t="s">
        <v>630</v>
      </c>
      <c r="M133" s="2">
        <v>0.3</v>
      </c>
      <c r="N133" s="45" t="s">
        <v>680</v>
      </c>
      <c r="S133" s="111"/>
      <c r="T133" s="111"/>
      <c r="U133" s="159"/>
    </row>
    <row r="134" spans="1:23" x14ac:dyDescent="0.2">
      <c r="A134" s="329" t="s">
        <v>90</v>
      </c>
      <c r="B134" s="45" t="s">
        <v>3</v>
      </c>
      <c r="M134"/>
      <c r="S134" s="111"/>
      <c r="T134" s="111"/>
    </row>
    <row r="135" spans="1:23" x14ac:dyDescent="0.2">
      <c r="A135" s="329" t="s">
        <v>91</v>
      </c>
      <c r="B135" s="45" t="s">
        <v>3</v>
      </c>
      <c r="L135" s="45" t="s">
        <v>631</v>
      </c>
      <c r="M135" s="2">
        <v>-0.15</v>
      </c>
      <c r="N135" s="45" t="s">
        <v>689</v>
      </c>
      <c r="O135" s="159">
        <v>-0.05</v>
      </c>
      <c r="P135" s="45" t="s">
        <v>666</v>
      </c>
      <c r="S135" s="111"/>
      <c r="T135" s="111"/>
      <c r="U135" s="159"/>
      <c r="W135" s="159"/>
    </row>
    <row r="136" spans="1:23" x14ac:dyDescent="0.2">
      <c r="A136" s="329" t="s">
        <v>92</v>
      </c>
      <c r="B136" s="45" t="s">
        <v>3</v>
      </c>
      <c r="L136" s="45" t="s">
        <v>633</v>
      </c>
      <c r="M136" s="434">
        <v>-2.5000000000000001E-2</v>
      </c>
      <c r="N136" s="45" t="s">
        <v>656</v>
      </c>
      <c r="S136" s="111"/>
      <c r="T136" s="111"/>
      <c r="U136" s="160"/>
    </row>
    <row r="137" spans="1:23" x14ac:dyDescent="0.2">
      <c r="A137" s="329" t="s">
        <v>93</v>
      </c>
      <c r="B137" s="45" t="s">
        <v>3</v>
      </c>
      <c r="L137" s="45" t="s">
        <v>634</v>
      </c>
      <c r="M137" s="2">
        <v>-0.25</v>
      </c>
      <c r="N137" s="45" t="s">
        <v>681</v>
      </c>
      <c r="S137" s="111"/>
      <c r="T137" s="111"/>
      <c r="U137" s="159"/>
    </row>
    <row r="138" spans="1:23" x14ac:dyDescent="0.2">
      <c r="A138" s="329" t="s">
        <v>94</v>
      </c>
      <c r="B138" s="45" t="s">
        <v>3</v>
      </c>
      <c r="M138"/>
      <c r="S138" s="111"/>
      <c r="T138" s="111"/>
    </row>
    <row r="139" spans="1:23" x14ac:dyDescent="0.2">
      <c r="A139" s="329" t="s">
        <v>95</v>
      </c>
      <c r="B139" s="45" t="s">
        <v>3</v>
      </c>
      <c r="L139" s="45" t="s">
        <v>635</v>
      </c>
      <c r="M139" s="2">
        <v>0.05</v>
      </c>
      <c r="N139" s="45" t="s">
        <v>678</v>
      </c>
      <c r="S139" s="111"/>
      <c r="T139" s="111"/>
      <c r="U139" s="160"/>
    </row>
    <row r="140" spans="1:23" x14ac:dyDescent="0.2">
      <c r="A140" s="329" t="s">
        <v>96</v>
      </c>
      <c r="B140" s="45" t="s">
        <v>7</v>
      </c>
      <c r="L140" s="45" t="s">
        <v>637</v>
      </c>
      <c r="M140" s="434">
        <v>-7.4999999999999997E-2</v>
      </c>
      <c r="N140" s="45" t="s">
        <v>675</v>
      </c>
      <c r="S140" s="111"/>
      <c r="T140" s="111"/>
      <c r="U140" s="159"/>
    </row>
    <row r="141" spans="1:23" x14ac:dyDescent="0.2">
      <c r="A141" s="329" t="s">
        <v>97</v>
      </c>
      <c r="B141" s="45" t="s">
        <v>3</v>
      </c>
      <c r="M141"/>
    </row>
    <row r="142" spans="1:23" x14ac:dyDescent="0.2">
      <c r="A142" s="329" t="s">
        <v>29</v>
      </c>
      <c r="B142" s="45" t="s">
        <v>3</v>
      </c>
      <c r="L142" s="45" t="s">
        <v>638</v>
      </c>
      <c r="M142" s="2">
        <v>-0.05</v>
      </c>
      <c r="N142" s="45" t="s">
        <v>676</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335</v>
      </c>
      <c r="B149" s="45" t="s">
        <v>3</v>
      </c>
      <c r="L149" s="111"/>
      <c r="M149" s="159"/>
    </row>
    <row r="150" spans="1:13" x14ac:dyDescent="0.2">
      <c r="A150" s="329" t="s">
        <v>349</v>
      </c>
      <c r="B150" s="45" t="s">
        <v>3</v>
      </c>
    </row>
    <row r="151" spans="1:13" x14ac:dyDescent="0.2">
      <c r="A151" s="329" t="s">
        <v>145</v>
      </c>
      <c r="B151" s="45" t="s">
        <v>3</v>
      </c>
    </row>
    <row r="152" spans="1:13" x14ac:dyDescent="0.2">
      <c r="A152" s="329" t="s">
        <v>507</v>
      </c>
      <c r="B152" s="45" t="s">
        <v>12</v>
      </c>
    </row>
    <row r="154" spans="1:13" x14ac:dyDescent="0.2">
      <c r="A154" s="329" t="s">
        <v>1071</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1072</v>
      </c>
    </row>
    <row r="161" spans="1:2" x14ac:dyDescent="0.2">
      <c r="A161" s="329" t="s">
        <v>284</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6" sqref="A6"/>
    </sheetView>
  </sheetViews>
  <sheetFormatPr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288</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780</v>
      </c>
      <c r="D4" s="347" t="s">
        <v>781</v>
      </c>
      <c r="E4" s="348" t="s">
        <v>782</v>
      </c>
      <c r="F4" s="348" t="s">
        <v>783</v>
      </c>
      <c r="G4" s="348" t="s">
        <v>784</v>
      </c>
      <c r="H4" s="351" t="s">
        <v>785</v>
      </c>
      <c r="I4" s="351" t="s">
        <v>236</v>
      </c>
      <c r="J4" s="436" t="s">
        <v>169</v>
      </c>
      <c r="K4" s="436" t="s">
        <v>105</v>
      </c>
      <c r="L4" s="436" t="s">
        <v>166</v>
      </c>
      <c r="M4" s="436" t="s">
        <v>107</v>
      </c>
      <c r="N4" s="436" t="s">
        <v>108</v>
      </c>
      <c r="O4" s="436" t="s">
        <v>109</v>
      </c>
      <c r="P4" s="436" t="s">
        <v>110</v>
      </c>
      <c r="Q4" s="436" t="s">
        <v>111</v>
      </c>
      <c r="R4" s="436" t="s">
        <v>112</v>
      </c>
      <c r="S4" s="436" t="s">
        <v>32</v>
      </c>
      <c r="T4" s="436" t="s">
        <v>31</v>
      </c>
      <c r="U4" s="437" t="s">
        <v>167</v>
      </c>
      <c r="V4" s="436" t="s">
        <v>168</v>
      </c>
      <c r="W4" s="436" t="s">
        <v>445</v>
      </c>
      <c r="X4" s="436" t="s">
        <v>495</v>
      </c>
      <c r="Y4" s="436" t="s">
        <v>496</v>
      </c>
      <c r="Z4" s="436" t="s">
        <v>533</v>
      </c>
      <c r="AA4" s="436" t="s">
        <v>1095</v>
      </c>
    </row>
    <row r="5" spans="1:27" s="358" customFormat="1" ht="19.5" customHeight="1" x14ac:dyDescent="0.2">
      <c r="A5" s="298" t="s">
        <v>89</v>
      </c>
      <c r="B5" s="352" t="s">
        <v>98</v>
      </c>
      <c r="C5" s="298" t="s">
        <v>249</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249</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249</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249</v>
      </c>
      <c r="D8" s="359" t="s">
        <v>116</v>
      </c>
      <c r="E8" s="360">
        <v>6</v>
      </c>
      <c r="F8" s="360">
        <v>3</v>
      </c>
      <c r="G8" s="360">
        <v>1200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249</v>
      </c>
      <c r="D9" s="367" t="s">
        <v>1101</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249</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249</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249</v>
      </c>
      <c r="D12" s="353" t="s">
        <v>1102</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251</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v>0.15</v>
      </c>
      <c r="X13" s="356"/>
      <c r="Y13" s="368"/>
      <c r="Z13" s="368"/>
      <c r="AA13" s="357"/>
    </row>
    <row r="14" spans="1:27" ht="19.5" customHeight="1" x14ac:dyDescent="0.2">
      <c r="A14" s="298" t="s">
        <v>91</v>
      </c>
      <c r="B14" s="352" t="s">
        <v>98</v>
      </c>
      <c r="C14" s="298" t="s">
        <v>251</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251</v>
      </c>
      <c r="D15" s="353" t="s">
        <v>121</v>
      </c>
      <c r="E15" s="96">
        <v>4</v>
      </c>
      <c r="F15" s="96">
        <v>4.5</v>
      </c>
      <c r="G15" s="96">
        <v>850</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251</v>
      </c>
      <c r="D16" s="359" t="s">
        <v>122</v>
      </c>
      <c r="E16" s="360">
        <v>7</v>
      </c>
      <c r="F16" s="360">
        <v>2</v>
      </c>
      <c r="G16" s="360">
        <v>1250</v>
      </c>
      <c r="H16" s="361">
        <v>100</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70">
        <v>0.05</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380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250</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250</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250</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250</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251</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251</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251</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251</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135</v>
      </c>
      <c r="E29" s="368">
        <v>3</v>
      </c>
      <c r="F29" s="368"/>
      <c r="G29" s="368">
        <v>275</v>
      </c>
      <c r="H29" s="358">
        <v>0</v>
      </c>
      <c r="I29" s="366">
        <v>5</v>
      </c>
      <c r="J29" s="369"/>
      <c r="K29" s="370"/>
      <c r="L29" s="370"/>
      <c r="M29" s="370">
        <v>0.05</v>
      </c>
      <c r="N29" s="370">
        <v>-0.15</v>
      </c>
      <c r="O29" s="370"/>
      <c r="P29" s="370"/>
      <c r="Q29" s="370"/>
      <c r="R29" s="370"/>
      <c r="S29" s="370"/>
      <c r="T29" s="370">
        <v>0.05</v>
      </c>
      <c r="U29" s="370"/>
      <c r="V29" s="370"/>
      <c r="W29" s="96"/>
      <c r="X29" s="356"/>
      <c r="Y29" s="368"/>
      <c r="Z29" s="368"/>
      <c r="AA29" s="375">
        <v>0.05</v>
      </c>
    </row>
    <row r="30" spans="1:27" ht="19.5" customHeight="1" x14ac:dyDescent="0.2">
      <c r="A30" s="298" t="s">
        <v>95</v>
      </c>
      <c r="B30" s="352" t="s">
        <v>98</v>
      </c>
      <c r="C30" s="298" t="s">
        <v>62</v>
      </c>
      <c r="D30" s="353" t="s">
        <v>137</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138</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136</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139</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140</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141</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142</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250</v>
      </c>
      <c r="D37" s="367" t="s">
        <v>143</v>
      </c>
      <c r="E37" s="368">
        <v>3</v>
      </c>
      <c r="F37" s="368"/>
      <c r="G37" s="368">
        <v>325</v>
      </c>
      <c r="H37" s="358">
        <v>25</v>
      </c>
      <c r="I37" s="366">
        <v>5</v>
      </c>
      <c r="J37" s="369">
        <v>0.2</v>
      </c>
      <c r="K37" s="370"/>
      <c r="L37" s="370"/>
      <c r="M37" s="370"/>
      <c r="N37" s="370"/>
      <c r="O37" s="370"/>
      <c r="P37" s="370"/>
      <c r="Q37" s="370"/>
      <c r="R37" s="370"/>
      <c r="S37" s="370"/>
      <c r="T37" s="370"/>
      <c r="U37" s="370"/>
      <c r="V37" s="370"/>
      <c r="W37" s="355">
        <v>0.2</v>
      </c>
      <c r="X37" s="356"/>
      <c r="Y37" s="368"/>
      <c r="Z37" s="368"/>
      <c r="AA37" s="357"/>
    </row>
    <row r="38" spans="1:27" ht="19.5" customHeight="1" x14ac:dyDescent="0.2">
      <c r="A38" s="298" t="s">
        <v>97</v>
      </c>
      <c r="B38" s="352" t="s">
        <v>30</v>
      </c>
      <c r="C38" s="298" t="s">
        <v>250</v>
      </c>
      <c r="D38" s="353" t="s">
        <v>144</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250</v>
      </c>
      <c r="D39" s="353" t="s">
        <v>361</v>
      </c>
      <c r="E39" s="96">
        <v>5</v>
      </c>
      <c r="F39" s="96">
        <v>3</v>
      </c>
      <c r="G39" s="96">
        <v>1050</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250</v>
      </c>
      <c r="D40" s="359" t="s">
        <v>146</v>
      </c>
      <c r="E40" s="360">
        <v>6</v>
      </c>
      <c r="F40" s="360">
        <v>2</v>
      </c>
      <c r="G40" s="360">
        <v>1275</v>
      </c>
      <c r="H40" s="361">
        <v>100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249</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249</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249</v>
      </c>
      <c r="D43" s="353" t="s">
        <v>41</v>
      </c>
      <c r="E43" s="96">
        <v>5</v>
      </c>
      <c r="F43" s="96">
        <v>3</v>
      </c>
      <c r="G43" s="96">
        <v>1000</v>
      </c>
      <c r="H43" s="298">
        <v>100</v>
      </c>
      <c r="I43" s="352">
        <f>1.8 * MIN(6, MAX(E43,F43)) + 0.45 * MIN(6, MIN(E43,F43)) + IF(E43&gt;6, (E43-6)*0.2) + IF(F43&gt;6, (F43-6)*0.2)</f>
        <v>10.35</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249</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248</v>
      </c>
      <c r="D45" s="367" t="s">
        <v>147</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248</v>
      </c>
      <c r="D46" s="353" t="s">
        <v>148</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248</v>
      </c>
      <c r="D47" s="353" t="s">
        <v>149</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248</v>
      </c>
      <c r="D48" s="359" t="s">
        <v>1096</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1108</v>
      </c>
      <c r="E49" s="368">
        <v>2.5</v>
      </c>
      <c r="F49" s="368"/>
      <c r="G49" s="368">
        <v>225</v>
      </c>
      <c r="H49" s="358">
        <v>0</v>
      </c>
      <c r="I49" s="366">
        <v>5</v>
      </c>
      <c r="J49" s="369">
        <v>0.15</v>
      </c>
      <c r="K49" s="370"/>
      <c r="L49" s="370"/>
      <c r="M49" s="370"/>
      <c r="N49" s="370"/>
      <c r="O49" s="370">
        <v>0.1</v>
      </c>
      <c r="P49" s="370"/>
      <c r="Q49" s="370"/>
      <c r="R49" s="370">
        <v>-0.75</v>
      </c>
      <c r="S49" s="370"/>
      <c r="T49" s="370"/>
      <c r="U49" s="370"/>
      <c r="V49" s="370"/>
      <c r="W49" s="96"/>
      <c r="X49" s="356"/>
      <c r="Y49" s="368"/>
      <c r="Z49" s="368"/>
      <c r="AA49" s="357"/>
    </row>
    <row r="50" spans="1:27" ht="19.5" customHeight="1" x14ac:dyDescent="0.2">
      <c r="A50" s="298" t="s">
        <v>100</v>
      </c>
      <c r="B50" s="352" t="s">
        <v>30</v>
      </c>
      <c r="C50" s="298" t="s">
        <v>60</v>
      </c>
      <c r="D50" s="353" t="s">
        <v>151</v>
      </c>
      <c r="F50" s="96">
        <v>2.5</v>
      </c>
      <c r="G50" s="96">
        <v>225</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152</v>
      </c>
      <c r="E51" s="96">
        <v>2</v>
      </c>
      <c r="F51" s="96">
        <v>4</v>
      </c>
      <c r="G51" s="96">
        <v>860</v>
      </c>
      <c r="H51" s="298">
        <v>0</v>
      </c>
      <c r="I51" s="352">
        <f>1.8 * MIN(6, MAX(E51,F51)) + 0.45 * MIN(6, MIN(E51,F51)) + IF(E51&gt;6, (E51-6)*0.2) + IF(F51&gt;6, (F51-6)*0.2)</f>
        <v>8.1</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380</v>
      </c>
      <c r="E52" s="360">
        <v>4</v>
      </c>
      <c r="F52" s="360">
        <v>3</v>
      </c>
      <c r="G52" s="360">
        <v>1000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153</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1097</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1098</v>
      </c>
      <c r="E55" s="96">
        <v>3</v>
      </c>
      <c r="F55" s="96">
        <v>5</v>
      </c>
      <c r="G55" s="96">
        <v>1000</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1099</v>
      </c>
      <c r="E56" s="360">
        <v>6</v>
      </c>
      <c r="F56" s="360">
        <v>0</v>
      </c>
      <c r="G56" s="360">
        <v>1150</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248</v>
      </c>
      <c r="D57" s="367" t="s">
        <v>154</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248</v>
      </c>
      <c r="D58" s="353" t="s">
        <v>155</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248</v>
      </c>
      <c r="D59" s="353" t="s">
        <v>156</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248</v>
      </c>
      <c r="D60" s="359" t="s">
        <v>157</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30</v>
      </c>
      <c r="C61" s="358" t="s">
        <v>250</v>
      </c>
      <c r="D61" s="367" t="s">
        <v>158</v>
      </c>
      <c r="E61" s="368">
        <v>2</v>
      </c>
      <c r="F61" s="368"/>
      <c r="G61" s="368">
        <v>245</v>
      </c>
      <c r="H61" s="358">
        <v>20</v>
      </c>
      <c r="I61" s="366">
        <v>5</v>
      </c>
      <c r="J61" s="369">
        <v>0.4</v>
      </c>
      <c r="K61" s="370">
        <v>0.2</v>
      </c>
      <c r="L61" s="370"/>
      <c r="M61" s="370"/>
      <c r="N61" s="370"/>
      <c r="O61" s="370"/>
      <c r="P61" s="370"/>
      <c r="Q61" s="370"/>
      <c r="R61" s="370">
        <v>-0.3</v>
      </c>
      <c r="S61" s="370"/>
      <c r="T61" s="370"/>
      <c r="U61" s="370">
        <v>-0.1</v>
      </c>
      <c r="V61" s="370">
        <v>-0.1</v>
      </c>
      <c r="W61" s="96"/>
      <c r="X61" s="356"/>
      <c r="Y61" s="368"/>
      <c r="Z61" s="368"/>
      <c r="AA61" s="357"/>
    </row>
    <row r="62" spans="1:27" ht="19.5" customHeight="1" x14ac:dyDescent="0.2">
      <c r="A62" s="298" t="s">
        <v>103</v>
      </c>
      <c r="B62" s="352" t="s">
        <v>30</v>
      </c>
      <c r="C62" s="298" t="s">
        <v>250</v>
      </c>
      <c r="D62" s="353" t="s">
        <v>159</v>
      </c>
      <c r="F62" s="96">
        <v>2</v>
      </c>
      <c r="G62" s="96">
        <v>250</v>
      </c>
      <c r="H62" s="298">
        <v>20</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30</v>
      </c>
      <c r="C63" s="298" t="s">
        <v>250</v>
      </c>
      <c r="D63" s="353" t="s">
        <v>160</v>
      </c>
      <c r="E63" s="96">
        <v>0</v>
      </c>
      <c r="F63" s="96">
        <v>3</v>
      </c>
      <c r="G63" s="96">
        <v>960</v>
      </c>
      <c r="H63" s="298">
        <v>0</v>
      </c>
      <c r="I63" s="352">
        <f>1.8 * MIN(6, MAX(E63,F63)) + 0.45 * MIN(6, MIN(E63,F63)) + IF(E63&gt;6, (E63-6)*0.2) + IF(F63&gt;6, (F63-6)*0.2)</f>
        <v>5.4</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30</v>
      </c>
      <c r="C64" s="361" t="s">
        <v>250</v>
      </c>
      <c r="D64" s="359" t="s">
        <v>161</v>
      </c>
      <c r="E64" s="360">
        <v>3</v>
      </c>
      <c r="F64" s="360">
        <v>2</v>
      </c>
      <c r="G64" s="360">
        <v>875</v>
      </c>
      <c r="H64" s="361">
        <v>55</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162</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163</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164</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165</v>
      </c>
      <c r="E68" s="360">
        <v>6</v>
      </c>
      <c r="F68" s="360">
        <v>2</v>
      </c>
      <c r="G68" s="360">
        <v>1050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335</v>
      </c>
      <c r="B69" s="366" t="s">
        <v>30</v>
      </c>
      <c r="C69" s="358" t="s">
        <v>251</v>
      </c>
      <c r="D69" s="367" t="s">
        <v>336</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335</v>
      </c>
      <c r="B70" s="352" t="s">
        <v>30</v>
      </c>
      <c r="C70" s="298" t="s">
        <v>251</v>
      </c>
      <c r="D70" s="353" t="s">
        <v>337</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335</v>
      </c>
      <c r="B71" s="352" t="s">
        <v>30</v>
      </c>
      <c r="C71" s="298" t="s">
        <v>251</v>
      </c>
      <c r="D71" s="353" t="s">
        <v>338</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335</v>
      </c>
      <c r="B72" s="371" t="s">
        <v>30</v>
      </c>
      <c r="C72" s="361" t="s">
        <v>251</v>
      </c>
      <c r="D72" s="359" t="s">
        <v>339</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349</v>
      </c>
      <c r="B73" s="366" t="s">
        <v>98</v>
      </c>
      <c r="C73" s="358" t="s">
        <v>248</v>
      </c>
      <c r="D73" s="367" t="s">
        <v>343</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349</v>
      </c>
      <c r="B74" s="352" t="s">
        <v>98</v>
      </c>
      <c r="C74" s="298" t="s">
        <v>248</v>
      </c>
      <c r="D74" s="353" t="s">
        <v>344</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349</v>
      </c>
      <c r="B75" s="352" t="s">
        <v>98</v>
      </c>
      <c r="C75" s="298" t="s">
        <v>248</v>
      </c>
      <c r="D75" s="353" t="s">
        <v>345</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349</v>
      </c>
      <c r="B76" s="371" t="s">
        <v>98</v>
      </c>
      <c r="C76" s="361" t="s">
        <v>248</v>
      </c>
      <c r="D76" s="359" t="s">
        <v>346</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145</v>
      </c>
      <c r="B77" s="366" t="s">
        <v>30</v>
      </c>
      <c r="C77" s="372" t="s">
        <v>58</v>
      </c>
      <c r="D77" s="358" t="s">
        <v>362</v>
      </c>
      <c r="E77" s="368">
        <v>3.5</v>
      </c>
      <c r="F77" s="368"/>
      <c r="G77" s="368">
        <v>330</v>
      </c>
      <c r="H77" s="358">
        <v>20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145</v>
      </c>
      <c r="B78" s="352" t="s">
        <v>30</v>
      </c>
      <c r="C78" s="373" t="s">
        <v>58</v>
      </c>
      <c r="D78" s="298" t="s">
        <v>331</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145</v>
      </c>
      <c r="B79" s="352" t="s">
        <v>30</v>
      </c>
      <c r="C79" s="373" t="s">
        <v>58</v>
      </c>
      <c r="D79" s="298" t="s">
        <v>381</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145</v>
      </c>
      <c r="B80" s="371" t="s">
        <v>30</v>
      </c>
      <c r="C80" s="374" t="s">
        <v>58</v>
      </c>
      <c r="D80" s="361" t="s">
        <v>363</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507</v>
      </c>
      <c r="B81" s="366" t="s">
        <v>30</v>
      </c>
      <c r="C81" s="372" t="s">
        <v>60</v>
      </c>
      <c r="D81" s="358" t="s">
        <v>428</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v>
      </c>
      <c r="AA81" s="375"/>
    </row>
    <row r="82" spans="1:27" ht="19.5" customHeight="1" x14ac:dyDescent="0.2">
      <c r="A82" s="298" t="s">
        <v>507</v>
      </c>
      <c r="B82" s="352" t="s">
        <v>30</v>
      </c>
      <c r="C82" s="373" t="s">
        <v>60</v>
      </c>
      <c r="D82" s="298" t="s">
        <v>429</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507</v>
      </c>
      <c r="B83" s="352" t="s">
        <v>30</v>
      </c>
      <c r="C83" s="373" t="s">
        <v>60</v>
      </c>
      <c r="D83" s="298" t="s">
        <v>430</v>
      </c>
      <c r="E83" s="96">
        <v>0</v>
      </c>
      <c r="F83" s="96">
        <v>3</v>
      </c>
      <c r="G83" s="96">
        <v>975</v>
      </c>
      <c r="H83" s="298">
        <v>25</v>
      </c>
      <c r="I83" s="352">
        <f>1.8 * MIN(6, MAX(E83,F83)) + 0.45 * MIN(6, MIN(E83,F83)) + IF(E83&gt;6, (E83-6)*0.2) + IF(F83&gt;6, (F83-6)*0.2)</f>
        <v>5.4</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507</v>
      </c>
      <c r="B84" s="352" t="s">
        <v>30</v>
      </c>
      <c r="C84" s="373" t="s">
        <v>60</v>
      </c>
      <c r="D84" s="298" t="s">
        <v>431</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786</v>
      </c>
      <c r="B85" s="352" t="s">
        <v>786</v>
      </c>
      <c r="C85" s="373" t="s">
        <v>786</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786</v>
      </c>
      <c r="B86" s="352" t="s">
        <v>786</v>
      </c>
      <c r="C86" s="373" t="s">
        <v>786</v>
      </c>
      <c r="D86" s="63" t="s">
        <v>1121</v>
      </c>
      <c r="G86" s="96">
        <v>1000</v>
      </c>
      <c r="H86" s="96" t="s">
        <v>1122</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786</v>
      </c>
      <c r="B87" s="352" t="s">
        <v>786</v>
      </c>
      <c r="C87" s="373" t="s">
        <v>786</v>
      </c>
      <c r="D87" s="63" t="s">
        <v>187</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786</v>
      </c>
      <c r="B88" s="352" t="s">
        <v>786</v>
      </c>
      <c r="C88" s="373" t="s">
        <v>786</v>
      </c>
      <c r="D88" s="63" t="s">
        <v>188</v>
      </c>
      <c r="G88" s="96">
        <v>1000</v>
      </c>
      <c r="H88" s="96" t="s">
        <v>254</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366</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335</v>
      </c>
      <c r="B106" s="298">
        <v>69</v>
      </c>
      <c r="J106" s="379"/>
      <c r="K106" s="379"/>
      <c r="L106" s="379"/>
      <c r="M106" s="379"/>
      <c r="N106" s="379"/>
      <c r="O106" s="379"/>
      <c r="P106" s="379"/>
      <c r="Q106" s="379"/>
      <c r="R106" s="379"/>
      <c r="S106" s="379"/>
      <c r="T106" s="379"/>
      <c r="U106" s="379"/>
      <c r="V106" s="379"/>
    </row>
    <row r="107" spans="1:22" ht="19.5" customHeight="1" x14ac:dyDescent="0.2">
      <c r="A107" s="376" t="s">
        <v>349</v>
      </c>
      <c r="B107" s="298">
        <v>73</v>
      </c>
      <c r="J107" s="379"/>
      <c r="K107" s="379"/>
      <c r="L107" s="379"/>
      <c r="M107" s="379"/>
      <c r="N107" s="379"/>
      <c r="O107" s="379"/>
      <c r="P107" s="379"/>
      <c r="Q107" s="379"/>
      <c r="R107" s="379"/>
      <c r="S107" s="379"/>
      <c r="T107" s="379"/>
      <c r="U107" s="379"/>
      <c r="V107" s="379"/>
    </row>
    <row r="108" spans="1:22" ht="19.5" customHeight="1" x14ac:dyDescent="0.2">
      <c r="A108" s="376" t="s">
        <v>145</v>
      </c>
      <c r="B108" s="298">
        <v>77</v>
      </c>
      <c r="J108" s="379"/>
      <c r="K108" s="379"/>
      <c r="L108" s="379"/>
      <c r="M108" s="379"/>
      <c r="N108" s="379"/>
      <c r="O108" s="379"/>
      <c r="P108" s="379"/>
      <c r="Q108" s="379"/>
      <c r="R108" s="379"/>
      <c r="S108" s="379"/>
      <c r="T108" s="379"/>
      <c r="U108" s="379"/>
      <c r="V108" s="379"/>
    </row>
    <row r="109" spans="1:22" ht="19.5" customHeight="1" x14ac:dyDescent="0.2">
      <c r="A109" s="376" t="s">
        <v>507</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240</v>
      </c>
      <c r="C2" s="3" t="s">
        <v>291</v>
      </c>
      <c r="D2" s="3" t="s">
        <v>292</v>
      </c>
      <c r="E2" s="3" t="s">
        <v>243</v>
      </c>
      <c r="F2" s="3" t="s">
        <v>242</v>
      </c>
      <c r="G2" s="3"/>
      <c r="H2" s="3"/>
      <c r="I2" s="3" t="s">
        <v>241</v>
      </c>
      <c r="J2" s="3" t="s">
        <v>244</v>
      </c>
      <c r="K2" s="11"/>
    </row>
    <row r="3" spans="2:11" ht="13.5" thickBot="1" x14ac:dyDescent="0.25">
      <c r="B3" s="7" t="s">
        <v>379</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246</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247</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289</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290</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3" t="s">
        <v>446</v>
      </c>
      <c r="I18" s="503"/>
      <c r="J18" s="503"/>
      <c r="K18" s="504"/>
    </row>
    <row r="20" spans="1:14" ht="13.5" thickBot="1" x14ac:dyDescent="0.25">
      <c r="H20" s="1"/>
      <c r="I20" s="1"/>
      <c r="L20" t="s">
        <v>438</v>
      </c>
    </row>
    <row r="21" spans="1:14" ht="13.5" thickBot="1" x14ac:dyDescent="0.25">
      <c r="E21" t="s">
        <v>302</v>
      </c>
      <c r="F21" s="34">
        <v>0.125</v>
      </c>
      <c r="H21" s="1"/>
      <c r="I21" s="1"/>
      <c r="J21" t="s">
        <v>439</v>
      </c>
      <c r="K21" t="s">
        <v>440</v>
      </c>
      <c r="L21" s="33">
        <v>0.3</v>
      </c>
      <c r="M21" t="s">
        <v>441</v>
      </c>
    </row>
    <row r="22" spans="1:14" x14ac:dyDescent="0.2">
      <c r="A22" s="21" t="s">
        <v>99</v>
      </c>
      <c r="B22" s="3" t="s">
        <v>30</v>
      </c>
      <c r="C22" s="31"/>
      <c r="D22" s="3" t="s">
        <v>147</v>
      </c>
      <c r="E22" s="3">
        <v>4</v>
      </c>
      <c r="G22" s="3">
        <v>325</v>
      </c>
      <c r="H22" s="3">
        <v>25</v>
      </c>
      <c r="I22" s="11">
        <v>5</v>
      </c>
      <c r="J22" s="1"/>
      <c r="K22" s="1">
        <f>(K29-K28-K27)*C22</f>
        <v>0</v>
      </c>
      <c r="M22" s="1">
        <f>J22*F22*(1+L21)</f>
        <v>0</v>
      </c>
    </row>
    <row r="23" spans="1:14" x14ac:dyDescent="0.2">
      <c r="A23" s="19"/>
      <c r="C23" s="23">
        <f>1-C24</f>
        <v>0.5</v>
      </c>
      <c r="D23" t="s">
        <v>148</v>
      </c>
      <c r="F23">
        <v>3</v>
      </c>
      <c r="G23">
        <v>300</v>
      </c>
      <c r="H23">
        <v>15</v>
      </c>
      <c r="I23" s="8">
        <v>5</v>
      </c>
      <c r="J23" s="1">
        <f>K23/I23</f>
        <v>6412.7</v>
      </c>
      <c r="K23" s="1">
        <f>(K29-K28-K27)*C23</f>
        <v>32063.5</v>
      </c>
      <c r="M23" s="1">
        <f>J23*F23*(1+L21)</f>
        <v>25009.53</v>
      </c>
    </row>
    <row r="24" spans="1:14" x14ac:dyDescent="0.2">
      <c r="A24" s="19"/>
      <c r="C24" s="23">
        <v>0.5</v>
      </c>
      <c r="D24" t="s">
        <v>149</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150</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436</v>
      </c>
      <c r="J27" s="27">
        <v>1250</v>
      </c>
      <c r="K27" s="1">
        <f>J27*25</f>
        <v>31250</v>
      </c>
      <c r="M27" s="35">
        <f>SUM(M22:M26)</f>
        <v>52425.504910394266</v>
      </c>
      <c r="N27" t="s">
        <v>441</v>
      </c>
    </row>
    <row r="28" spans="1:14" ht="13.5" thickBot="1" x14ac:dyDescent="0.25">
      <c r="H28" s="1"/>
      <c r="I28" s="1" t="s">
        <v>437</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3">
        <v>0.2</v>
      </c>
      <c r="M32" t="s">
        <v>441</v>
      </c>
      <c r="N32" t="s">
        <v>452</v>
      </c>
    </row>
    <row r="33" spans="1:14" x14ac:dyDescent="0.2">
      <c r="A33" s="21" t="s">
        <v>97</v>
      </c>
      <c r="B33" s="11" t="s">
        <v>30</v>
      </c>
      <c r="C33" s="31"/>
      <c r="D33" s="9" t="s">
        <v>143</v>
      </c>
      <c r="E33" s="3">
        <v>3</v>
      </c>
      <c r="F33" s="3"/>
      <c r="G33" s="3">
        <v>325</v>
      </c>
      <c r="H33" s="3">
        <v>25</v>
      </c>
      <c r="I33" s="11">
        <v>5</v>
      </c>
      <c r="J33" s="1"/>
      <c r="K33" s="1">
        <f>(K40-K39-K38)*C33</f>
        <v>0</v>
      </c>
      <c r="M33" s="1"/>
      <c r="N33" s="1"/>
    </row>
    <row r="34" spans="1:14" x14ac:dyDescent="0.2">
      <c r="A34" s="19"/>
      <c r="B34" s="8"/>
      <c r="C34" s="23">
        <f>1-C36</f>
        <v>0.4</v>
      </c>
      <c r="D34" s="7" t="s">
        <v>144</v>
      </c>
      <c r="F34">
        <v>3</v>
      </c>
      <c r="G34">
        <v>375</v>
      </c>
      <c r="H34">
        <v>15</v>
      </c>
      <c r="I34" s="8">
        <v>5</v>
      </c>
      <c r="J34" s="1">
        <f>K34/I34</f>
        <v>14126</v>
      </c>
      <c r="K34" s="1">
        <f>(K40-K39-K38)*C34</f>
        <v>70630</v>
      </c>
      <c r="M34" s="37">
        <f>J34*F34*(1+L32)</f>
        <v>50853.599999999999</v>
      </c>
      <c r="N34" s="1"/>
    </row>
    <row r="35" spans="1:14" x14ac:dyDescent="0.2">
      <c r="A35" s="19"/>
      <c r="B35" s="8"/>
      <c r="C35" s="23"/>
      <c r="D35" s="7" t="s">
        <v>361</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146</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436</v>
      </c>
      <c r="J38" s="27">
        <v>2337</v>
      </c>
      <c r="K38" s="1">
        <f>J38*25</f>
        <v>58425</v>
      </c>
      <c r="M38" s="35"/>
      <c r="N38" s="35"/>
    </row>
    <row r="39" spans="1:14" ht="13.5" thickBot="1" x14ac:dyDescent="0.25">
      <c r="H39" s="1"/>
      <c r="I39" s="1" t="s">
        <v>451</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2022-11-03T23:38:07Z</dcterms:modified>
</cp:coreProperties>
</file>