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CDF4747C-D514-4276-9766-9C22B1D6626F}"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Constants!$B$164</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Constants!$O$117</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l="1"/>
  <c r="AE136" i="1" l="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J4" i="2" l="1"/>
  <c r="AS2" i="8"/>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I6" i="12" l="1"/>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CV5" i="5" l="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J5" i="2" l="1"/>
  <c r="K7" i="1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I4" i="2"/>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AZ7" i="5" l="1" a="1"/>
  <c r="AZ7" i="5" s="1"/>
  <c r="AZ8" i="5" s="1" a="1"/>
  <c r="AZ8" i="5" s="1"/>
  <c r="J6" i="2"/>
  <c r="BF7" i="5" a="1"/>
  <c r="BF7" i="5" s="1"/>
  <c r="AE6" i="1" s="1"/>
  <c r="AE5" i="1"/>
  <c r="G9" i="8"/>
  <c r="CE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W5" i="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J7" i="2" l="1"/>
  <c r="BJ9" i="5"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J9" i="2"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J10" i="2"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J11" i="2"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J13" i="2"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J14" i="2"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J15" i="2"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J16" i="2"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J17" i="2"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BT14" i="5"/>
  <c r="A14" i="11"/>
  <c r="B14" i="7"/>
  <c r="X14" i="8"/>
  <c r="DA14" i="8" s="1"/>
  <c r="CZ16" i="5"/>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J18" i="2"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J19" i="2"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J20" i="2"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J21" i="2"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J22" i="2"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J23" i="2"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J24" i="2"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J25" i="2"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J26" i="2"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J27" i="2"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J28" i="2"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J29" i="2"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J30" i="2"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J31" i="2"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J32" i="2"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J33" i="2"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J34" i="2"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J35" i="2"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J36" i="2"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J37" i="2"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J38" i="2"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J39" i="2"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CZ38" i="5"/>
  <c r="AI36" i="5"/>
  <c r="BT36" i="5"/>
  <c r="AC36" i="8"/>
  <c r="BP36" i="8" s="1"/>
  <c r="A36" i="11"/>
  <c r="A36" i="10"/>
  <c r="AA36" i="10" s="1"/>
  <c r="B36" i="7"/>
  <c r="X36" i="8"/>
  <c r="DA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J40" i="2"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J41" i="2"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J42" i="2"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J43" i="2"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J44" i="2"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J45" i="2"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J46" i="2"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J49" i="2"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X45" i="8"/>
  <c r="BY45" i="8"/>
  <c r="CA45" i="8"/>
  <c r="CQ45" i="8" s="1"/>
  <c r="CB45" i="8"/>
  <c r="CS45" i="8" s="1"/>
  <c r="CT45" i="8" s="1"/>
  <c r="CG45" i="8"/>
  <c r="CW45" i="8" s="1"/>
  <c r="BZ45" i="8"/>
  <c r="CZ48" i="5"/>
  <c r="AE45" i="7"/>
  <c r="AF45" i="7" s="1"/>
  <c r="Q45" i="7"/>
  <c r="AB48" i="1"/>
  <c r="DI48" i="5"/>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J50" i="2"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J54" i="2"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J55" i="2"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C53" i="5"/>
  <c r="F53" i="5" s="1"/>
  <c r="AW53" i="5" s="1"/>
  <c r="AB54" i="1"/>
  <c r="DI54" i="5"/>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J56" i="2"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J57" i="2"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J59" i="2"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J63" i="2"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J64" i="2"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J67" i="2"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J68" i="2"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J69" i="2"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J70" i="2"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J71" i="2"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J72" i="2"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J73" i="2"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J74" i="2"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J75" i="2"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J76" i="2"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J77" i="2"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J78" i="2"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J79" i="2"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B74" i="14"/>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J80" i="2"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J81" i="2"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J82" i="2"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J83" i="2"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J84" i="2"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J85" i="2"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J86" i="2"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B84" i="9"/>
  <c r="X84" i="9" s="1"/>
  <c r="AI84" i="5"/>
  <c r="A84" i="11"/>
  <c r="AC84" i="8"/>
  <c r="BP84" i="8" s="1"/>
  <c r="BT84" i="5"/>
  <c r="A84" i="10"/>
  <c r="AA84" i="10" s="1"/>
  <c r="B84" i="7"/>
  <c r="X84" i="8"/>
  <c r="DA84" i="8" s="1"/>
  <c r="E84" i="1"/>
  <c r="AJ84" i="5"/>
  <c r="AP84" i="5" s="1"/>
  <c r="CZ86" i="5"/>
  <c r="AB86" i="1"/>
  <c r="DI86" i="5"/>
  <c r="AC85" i="1"/>
  <c r="DA85" i="5"/>
  <c r="DG85" i="5" s="1" a="1"/>
  <c r="DG85" i="5" s="1"/>
  <c r="AF95" i="9"/>
  <c r="AJ95" i="9"/>
  <c r="N71" i="1"/>
  <c r="S88" i="2"/>
  <c r="N89" i="2"/>
  <c r="R89" i="2"/>
  <c r="Q88" i="2"/>
  <c r="J90" i="10"/>
  <c r="N90" i="5" s="1"/>
  <c r="P90" i="2"/>
  <c r="U1269" i="14"/>
  <c r="U1270" i="14" s="1"/>
  <c r="M89" i="2"/>
  <c r="G90" i="8" l="1"/>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J88" i="2"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J89" i="2"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J90" i="2"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J91" i="2"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J92" i="2"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J93" i="2"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J95" i="2"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J96" i="2"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AC94" i="1"/>
  <c r="DA94" i="5"/>
  <c r="DG94" i="5" s="1" a="1"/>
  <c r="DG94" i="5" s="1"/>
  <c r="AB95" i="1"/>
  <c r="DI95" i="5"/>
  <c r="AF104" i="9"/>
  <c r="AJ104" i="9"/>
  <c r="N80" i="1"/>
  <c r="S97" i="2"/>
  <c r="N98" i="2"/>
  <c r="R98" i="2"/>
  <c r="Q97" i="2"/>
  <c r="M98" i="2"/>
  <c r="J99" i="10"/>
  <c r="N99" i="5" s="1"/>
  <c r="P99" i="2"/>
  <c r="G99" i="8" l="1"/>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J97" i="2"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J98" i="2"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J99" i="2"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J100" i="2"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J101" i="2"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J102" i="2"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J103" i="2"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J104" i="2"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J105" i="2"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J106" i="2"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J107" i="2"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J108" i="2"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J109" i="2"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J110" i="2"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J111" i="2"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J112" i="2"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J113" i="2"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J114" i="2"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J116" i="2"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J117" i="2"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J118" i="2"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J119" i="2"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J120" i="2"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J121" i="2"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J122" i="2"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J123" i="2"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C121" i="5"/>
  <c r="F121" i="5" s="1"/>
  <c r="AW121" i="5" s="1"/>
  <c r="CO118" i="8"/>
  <c r="AQ118" i="5"/>
  <c r="B118" i="14"/>
  <c r="CZ122" i="5"/>
  <c r="AB122" i="1"/>
  <c r="DI122" i="5"/>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J124" i="2"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J125" i="2"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A123" i="11"/>
  <c r="AC123" i="8"/>
  <c r="BP123" i="8" s="1"/>
  <c r="BT123" i="5"/>
  <c r="A123" i="10"/>
  <c r="AA123" i="10" s="1"/>
  <c r="B123" i="7"/>
  <c r="AJ123" i="5"/>
  <c r="AP123" i="5" s="1"/>
  <c r="E123" i="1"/>
  <c r="AI123" i="5"/>
  <c r="B123" i="9"/>
  <c r="X123" i="9" s="1"/>
  <c r="X123" i="8"/>
  <c r="DA123" i="8" s="1"/>
  <c r="CZ125" i="5"/>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J127" i="2"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J128" i="2"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J129" i="2"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C127" i="5"/>
  <c r="F127" i="5" s="1"/>
  <c r="AW127" i="5" s="1"/>
  <c r="CZ128" i="5"/>
  <c r="AB128" i="1"/>
  <c r="DI128" i="5"/>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J130" i="2"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J131" i="2"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J132" i="2"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J133" i="2"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J135" i="2"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C134" i="5"/>
  <c r="B131" i="14"/>
  <c r="CY131" i="8"/>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<sst xmlns="http://schemas.openxmlformats.org/spreadsheetml/2006/main" count="3004" uniqueCount="1126">
  <si>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</si>
  <si>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</si>
  <si>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</si>
  <si>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</si>
  <si>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</si>
  <si>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</si>
  <si>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</si>
  <si>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</si>
  <si>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</si>
  <si>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</si>
  <si>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</si>
  <si>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</si>
  <si>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</si>
  <si>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</si>
  <si>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</si>
  <si>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</si>
  <si>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</si>
  <si>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</si>
  <si>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</si>
  <si>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</si>
  <si>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</si>
  <si>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</si>
  <si>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</si>
  <si>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</si>
  <si>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</si>
  <si>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</si>
  <si>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</si>
  <si>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</si>
  <si>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</si>
  <si>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</si>
  <si>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</si>
  <si>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</si>
  <si>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</si>
  <si>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</si>
  <si>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</si>
  <si>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</si>
  <si>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</si>
  <si>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</si>
  <si>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</si>
  <si>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</si>
  <si>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</si>
  <si>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</si>
  <si>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</si>
  <si>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</si>
  <si>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</si>
  <si>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</si>
  <si>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</si>
  <si>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</si>
  <si>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</si>
  <si>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</si>
  <si>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</si>
  <si>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</si>
  <si>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</si>
  <si>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</si>
  <si>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</si>
  <si>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</si>
  <si>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</si>
  <si>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</si>
  <si>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</si>
  <si>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</si>
  <si>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</si>
  <si>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</si>
  <si>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</si>
  <si>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</si>
  <si>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</si>
  <si>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</si>
  <si>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</si>
  <si>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</si>
  <si>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</si>
  <si>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</si>
  <si>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</si>
  <si>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</si>
  <si>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</si>
  <si>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</si>
  <si>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</si>
  <si>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</si>
  <si>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</si>
  <si>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</si>
  <si>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</si>
  <si>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</si>
  <si>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</si>
  <si>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</si>
  <si>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</si>
  <si>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</si>
  <si>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</si>
  <si>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</si>
  <si>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</si>
  <si>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</si>
  <si>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</si>
  <si>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</si>
  <si>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</si>
  <si>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</si>
  <si>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</si>
  <si>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</si>
  <si>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</si>
  <si>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</si>
  <si>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</si>
  <si>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</si>
  <si>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</si>
  <si>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</si>
  <si>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</si>
  <si>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</si>
  <si>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</si>
  <si>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</si>
  <si>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</si>
  <si>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</si>
  <si>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</si>
  <si>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</si>
  <si>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</si>
  <si>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</si>
  <si>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</si>
  <si>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</si>
  <si>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</si>
  <si>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</si>
  <si>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</si>
  <si>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</si>
  <si>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</si>
  <si>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</si>
  <si>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</si>
  <si>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</si>
  <si>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</si>
  <si>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</si>
  <si>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</si>
  <si>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</si>
  <si>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</si>
  <si>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</si>
  <si>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</si>
  <si>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</si>
  <si>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</si>
  <si>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</si>
  <si>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</si>
  <si>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</si>
  <si>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</si>
  <si>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</si>
  <si>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</si>
  <si>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</si>
  <si>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</si>
  <si>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</si>
  <si>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</si>
  <si>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</si>
  <si>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</si>
  <si>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</si>
  <si>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</si>
  <si>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</si>
  <si>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</si>
  <si>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</si>
  <si>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</si>
  <si>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</si>
  <si>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</si>
  <si>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</si>
  <si>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</si>
  <si>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</si>
  <si>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</si>
  <si>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</si>
  <si>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</si>
  <si>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</si>
  <si>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</si>
  <si>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</si>
  <si>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</si>
  <si>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</si>
  <si>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</si>
  <si>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</si>
  <si>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</si>
  <si>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</si>
  <si>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</si>
  <si>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</si>
  <si>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</si>
  <si>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</si>
  <si>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</si>
  <si>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</si>
  <si>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</si>
  <si>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</si>
  <si>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</si>
  <si>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</si>
  <si>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</si>
  <si>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</si>
  <si>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</si>
  <si>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</si>
  <si>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</si>
  <si>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</si>
  <si>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</si>
  <si>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</si>
  <si>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</si>
  <si>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</si>
  <si>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</si>
  <si>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</si>
  <si>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</si>
  <si>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</si>
  <si>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</si>
  <si>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</si>
  <si>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</si>
  <si>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</si>
  <si>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</si>
  <si>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</si>
  <si>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</si>
  <si>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</si>
  <si>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</si>
  <si>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</si>
  <si>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</si>
  <si>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</si>
  <si>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</si>
  <si>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</si>
  <si>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</si>
  <si>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</si>
  <si>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</si>
  <si>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</si>
  <si>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</si>
  <si>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</si>
  <si>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</si>
  <si>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</si>
  <si>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</si>
  <si>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</si>
  <si>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</si>
  <si>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</si>
  <si>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</si>
  <si>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</si>
  <si>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</si>
  <si>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</si>
  <si>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</si>
  <si>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</si>
  <si>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</si>
  <si>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</si>
  <si>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</si>
  <si>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</si>
  <si>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</si>
  <si>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</si>
  <si>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</si>
  <si>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</si>
  <si>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</si>
  <si>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</si>
  <si>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</si>
  <si>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</si>
  <si>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</si>
  <si>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</si>
  <si>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</si>
  <si>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</si>
  <si>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</si>
  <si>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</si>
  <si>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</si>
  <si>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</si>
  <si>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</si>
  <si>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</si>
  <si>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</si>
  <si>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</si>
  <si>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</si>
  <si>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</si>
  <si>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</si>
  <si>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</si>
  <si>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</si>
  <si>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</si>
  <si>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</si>
  <si>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</si>
  <si>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</si>
  <si>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</si>
  <si>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</si>
  <si>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</si>
  <si>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</si>
  <si>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</si>
  <si>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</si>
  <si>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</si>
  <si>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</si>
  <si>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</si>
  <si>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</si>
  <si>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</si>
  <si>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</si>
  <si>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</si>
  <si>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</si>
  <si>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</si>
  <si>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</si>
  <si>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</si>
  <si>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</si>
  <si>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</si>
  <si>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</si>
  <si>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</si>
  <si>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</si>
  <si>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</si>
  <si>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</si>
  <si>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</si>
  <si>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</si>
  <si>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</si>
  <si>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</si>
  <si>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</si>
  <si>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</si>
  <si>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</si>
  <si>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</si>
  <si>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</si>
  <si>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</si>
  <si>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</si>
  <si>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</si>
  <si>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</si>
  <si>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</si>
  <si>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</si>
  <si>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</si>
  <si>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</si>
  <si>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</si>
  <si>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</si>
  <si>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</si>
  <si>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</si>
  <si>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</si>
  <si>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</si>
  <si>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</si>
  <si>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</si>
  <si>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</si>
  <si>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</si>
  <si>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</si>
  <si>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</si>
  <si>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</si>
  <si>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</si>
  <si>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</si>
  <si>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</si>
  <si>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</si>
  <si>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</si>
  <si>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</si>
  <si>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</si>
  <si>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</si>
  <si>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</si>
  <si>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</si>
  <si>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</si>
  <si>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</si>
  <si>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</si>
  <si>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</si>
  <si>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</si>
  <si>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</si>
  <si>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</si>
  <si>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</si>
  <si>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</si>
  <si>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</si>
  <si>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</si>
  <si>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</si>
  <si>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</si>
  <si>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</si>
  <si>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</si>
  <si>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</si>
  <si>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</si>
  <si>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</si>
  <si>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</si>
  <si>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</si>
  <si>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</si>
  <si>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</si>
  <si>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</si>
  <si>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</si>
  <si>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</si>
  <si>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</si>
  <si>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</si>
  <si>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</si>
  <si>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</si>
  <si>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</si>
  <si>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</si>
  <si>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</si>
  <si>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</si>
  <si>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</si>
  <si>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</si>
  <si>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</si>
  <si>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</si>
  <si>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</si>
  <si>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</si>
  <si>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</si>
  <si>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</si>
  <si>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</si>
  <si>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</si>
  <si>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</si>
  <si>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</si>
  <si>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</si>
  <si>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</si>
  <si>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</si>
  <si>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</si>
  <si>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</si>
  <si>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</si>
  <si>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</si>
  <si>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</si>
  <si>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</si>
  <si>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</si>
  <si>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</si>
  <si>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</si>
  <si>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</si>
  <si>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</si>
  <si>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</si>
  <si>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</si>
  <si>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</si>
  <si>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</si>
  <si>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</si>
  <si>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</si>
  <si>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</si>
  <si>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</si>
  <si>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</si>
  <si>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</si>
  <si>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</si>
  <si>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</si>
  <si>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</si>
  <si>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</si>
  <si>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</si>
  <si>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</si>
  <si>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</si>
  <si>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</si>
  <si>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</si>
  <si>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</si>
  <si>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</si>
  <si>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</si>
  <si>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</si>
  <si>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</si>
  <si>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</si>
  <si>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</si>
  <si>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</si>
  <si>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</si>
  <si>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</si>
  <si>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</si>
  <si>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</si>
  <si>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</si>
  <si>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</si>
  <si>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</si>
  <si>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</si>
  <si>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</si>
  <si>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</si>
  <si>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</si>
  <si>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</si>
  <si>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</si>
  <si>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</si>
  <si>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</si>
  <si>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</si>
  <si>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</si>
  <si>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</si>
  <si>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</si>
  <si>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</si>
  <si>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</si>
  <si>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</si>
  <si>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</si>
  <si>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</si>
  <si>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</si>
  <si>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</si>
  <si>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</si>
  <si>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</si>
  <si>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</si>
  <si>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</si>
  <si>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</si>
  <si>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</si>
  <si>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</si>
  <si>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</si>
  <si>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</si>
  <si>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</si>
  <si>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</si>
  <si>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</si>
  <si>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</si>
  <si>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</si>
  <si>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</si>
  <si>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</si>
  <si>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</si>
  <si>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</si>
  <si>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</si>
  <si>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</si>
  <si>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</si>
  <si>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</si>
  <si>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</si>
  <si>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</si>
  <si>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</si>
  <si>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</si>
  <si>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</si>
  <si>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</si>
  <si>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</si>
  <si>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</si>
  <si>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</si>
  <si>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</si>
  <si>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</si>
  <si>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</si>
  <si>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</si>
  <si>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</si>
  <si>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</si>
  <si>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</si>
  <si>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</si>
  <si>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</si>
  <si>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</si>
  <si>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</si>
  <si>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</si>
  <si>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</si>
  <si>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</si>
  <si>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</si>
  <si>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</si>
  <si>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</si>
  <si>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</si>
  <si>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</si>
  <si>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</si>
  <si>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</si>
  <si>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</si>
  <si>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</si>
  <si>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</si>
  <si>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</si>
  <si>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</si>
  <si>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</si>
  <si>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</si>
  <si>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</si>
  <si>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</si>
  <si>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</si>
  <si>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</si>
  <si>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</si>
  <si>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</si>
  <si>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</si>
  <si>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</si>
  <si>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</si>
  <si>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</si>
  <si>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</si>
  <si>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</si>
  <si>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</si>
  <si>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</si>
  <si>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</si>
  <si>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</si>
  <si>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</si>
  <si>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</si>
  <si>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</si>
  <si>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</si>
  <si>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</si>
  <si>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</si>
  <si>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</si>
  <si>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</si>
  <si>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</si>
  <si>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</si>
  <si>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</si>
  <si>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</si>
  <si>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</si>
  <si>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</si>
  <si>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</si>
  <si>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</si>
  <si>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</si>
  <si>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</si>
  <si>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</si>
  <si>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</si>
  <si>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</si>
  <si>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</si>
  <si>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</si>
  <si>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</si>
  <si>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</si>
  <si>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</si>
  <si>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</si>
  <si>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</si>
  <si>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</si>
  <si>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</si>
  <si>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</si>
  <si>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</si>
  <si>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</si>
  <si>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</si>
  <si>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</si>
  <si>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</si>
  <si>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</si>
  <si>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</si>
  <si>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</si>
  <si>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</si>
  <si>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</si>
  <si>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</si>
  <si>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</si>
  <si>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</si>
  <si>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</si>
  <si>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</si>
  <si>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</si>
  <si>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</si>
  <si>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</si>
  <si>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</si>
  <si>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</si>
  <si>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</si>
  <si>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</si>
  <si>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</si>
  <si>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</si>
  <si>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</si>
  <si>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</si>
  <si>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</si>
  <si>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</si>
  <si>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</si>
  <si>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</si>
  <si>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</si>
  <si>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</si>
  <si>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</si>
  <si>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</si>
  <si>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</si>
  <si>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</si>
  <si>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</si>
  <si>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</si>
  <si>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</si>
  <si>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</si>
  <si>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</si>
  <si>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</si>
  <si>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</si>
  <si>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</si>
  <si>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</si>
  <si>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</si>
  <si>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</si>
  <si>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</si>
  <si>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</si>
  <si>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</si>
  <si>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</si>
  <si>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</si>
  <si>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</si>
  <si>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</si>
  <si>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</si>
  <si>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</si>
  <si>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</si>
  <si>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</si>
  <si>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</si>
  <si>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</si>
  <si>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</si>
  <si>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</si>
  <si>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</si>
  <si>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</si>
  <si>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</si>
  <si>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</si>
  <si>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</si>
  <si>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</si>
  <si>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</si>
  <si>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</si>
  <si>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</si>
  <si>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</si>
  <si>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</si>
  <si>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</si>
  <si>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</si>
  <si>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</si>
  <si>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</si>
  <si>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</si>
  <si>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</si>
  <si>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</si>
  <si>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</si>
  <si>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</si>
  <si>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</si>
  <si>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</si>
  <si>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</si>
  <si>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</si>
  <si>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</si>
  <si>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</si>
  <si>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</si>
  <si>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</si>
  <si>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</si>
  <si>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</si>
  <si>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</si>
  <si>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</si>
  <si>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</si>
  <si>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</si>
  <si>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</si>
  <si>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</si>
  <si>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</si>
  <si>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</si>
  <si>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</si>
  <si>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</si>
  <si>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</si>
  <si>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</si>
  <si>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</si>
  <si>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</si>
  <si>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</si>
  <si>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</si>
  <si>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</si>
  <si>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</si>
  <si>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</si>
  <si>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</si>
  <si>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</si>
  <si>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</si>
  <si>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</si>
  <si>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</si>
  <si>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</si>
  <si>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</si>
  <si>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</si>
  <si>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</si>
  <si>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</si>
  <si>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</si>
  <si>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</si>
  <si>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</si>
  <si>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</si>
  <si>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</si>
  <si>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</si>
  <si>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</si>
  <si>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</si>
  <si>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</si>
  <si>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</si>
  <si>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</si>
  <si>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</si>
  <si>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</si>
  <si>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</si>
  <si>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</si>
  <si>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</si>
  <si>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</si>
  <si>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</si>
  <si>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</si>
  <si>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</si>
  <si>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</si>
  <si>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</si>
  <si>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</si>
  <si>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</si>
  <si>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</si>
  <si>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</si>
  <si>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</si>
  <si>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</si>
  <si>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</si>
  <si>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</si>
  <si>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</si>
  <si>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</si>
  <si>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</si>
  <si>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</si>
  <si>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</si>
  <si>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</si>
  <si>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</si>
  <si>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</si>
  <si>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</si>
  <si>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</si>
  <si>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</si>
  <si>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</si>
  <si>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</si>
  <si>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</si>
  <si>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</si>
  <si>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</si>
  <si>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</si>
  <si>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</si>
  <si>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</si>
  <si>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</si>
  <si>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</si>
  <si>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</si>
  <si>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</si>
  <si>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</si>
  <si>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</si>
  <si>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</si>
  <si>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</si>
  <si>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</si>
  <si>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</si>
  <si>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</si>
  <si>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</si>
  <si>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</si>
  <si>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</si>
  <si>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</si>
  <si>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</si>
  <si>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</si>
  <si>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</si>
  <si>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</si>
  <si>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</si>
  <si>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</si>
  <si>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</si>
  <si>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</si>
  <si>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</si>
  <si>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</si>
  <si>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</si>
  <si>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</si>
  <si>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</si>
  <si>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</si>
  <si>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</si>
  <si>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</si>
  <si>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</si>
  <si>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</si>
  <si>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</si>
  <si>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</si>
  <si>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</si>
  <si>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</si>
  <si>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</si>
  <si>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</si>
  <si>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</si>
  <si>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</si>
  <si>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</si>
  <si>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</si>
  <si>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</si>
  <si>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</si>
  <si>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</si>
  <si>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</si>
  <si>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</si>
  <si>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</si>
  <si>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</si>
  <si>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</si>
  <si>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</si>
  <si>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</si>
  <si>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</si>
  <si>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</si>
  <si>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</si>
  <si>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</si>
  <si>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</si>
  <si>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</si>
  <si>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</si>
  <si>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</si>
  <si>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</si>
  <si>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</si>
  <si>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</si>
  <si>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</si>
  <si>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</si>
  <si>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</si>
  <si>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</si>
  <si>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</si>
  <si>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</si>
  <si>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</si>
  <si>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</si>
  <si>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</si>
  <si>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</si>
  <si>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</si>
  <si>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</si>
  <si>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</si>
  <si>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</si>
  <si>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</si>
  <si>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</si>
  <si>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</si>
  <si>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</si>
  <si>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</si>
  <si>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</si>
  <si>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</si>
  <si>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</si>
  <si>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</si>
  <si>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</si>
  <si>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</si>
  <si>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</si>
  <si>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</si>
  <si>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</si>
  <si>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</si>
  <si>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</si>
  <si>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</si>
  <si>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</si>
  <si>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</si>
  <si>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</si>
  <si>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</si>
  <si>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</si>
  <si>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</si>
  <si>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</si>
  <si>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</si>
  <si>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</si>
  <si>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</si>
  <si>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</si>
  <si>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</si>
  <si>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</si>
  <si>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</si>
  <si>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</si>
  <si>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</si>
  <si>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</si>
  <si>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</si>
  <si>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</si>
  <si>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</si>
  <si>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</si>
  <si>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</si>
  <si>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</si>
  <si>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</si>
  <si>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</si>
  <si>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</si>
  <si>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</si>
  <si>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</si>
  <si>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</si>
  <si>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</si>
  <si>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</si>
  <si>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</si>
  <si>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</si>
  <si>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</si>
  <si>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</si>
  <si>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</si>
  <si>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</si>
  <si>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</si>
  <si>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</si>
  <si>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</si>
  <si>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</si>
  <si>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</si>
  <si>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</si>
  <si>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</si>
  <si>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</si>
  <si>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</si>
  <si>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</si>
  <si>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</si>
  <si>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</si>
  <si>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</si>
  <si>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</si>
  <si>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</si>
  <si>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</si>
  <si>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</si>
  <si>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</si>
  <si>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</si>
  <si>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</si>
  <si>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</si>
  <si>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</si>
  <si>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</si>
  <si>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</si>
  <si>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</si>
  <si>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</si>
  <si>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</si>
  <si>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</si>
  <si>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</si>
  <si>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</si>
  <si>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</si>
  <si>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</si>
  <si>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</si>
  <si>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</si>
  <si>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</si>
  <si>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</si>
  <si>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</si>
  <si>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</si>
  <si>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</si>
  <si>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</si>
  <si>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</si>
  <si>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</si>
  <si>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</si>
  <si>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</si>
  <si>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</si>
  <si>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</si>
  <si>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</si>
  <si>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</si>
  <si>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</si>
  <si>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</si>
  <si>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</si>
  <si>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</si>
  <si>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</si>
  <si>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</si>
  <si>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</si>
  <si>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</si>
  <si>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</si>
  <si>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</si>
  <si>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</si>
  <si>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</si>
  <si>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</si>
  <si>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</si>
  <si>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</si>
  <si>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</si>
  <si>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</si>
  <si>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</si>
  <si>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</si>
  <si>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</si>
  <si>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</si>
  <si>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</si>
  <si>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</si>
  <si>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</si>
  <si>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</si>
  <si>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</si>
  <si>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</si>
  <si>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</si>
  <si>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</si>
  <si>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</si>
  <si>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</si>
  <si>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</si>
  <si>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</si>
  <si>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</si>
  <si>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</si>
  <si>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</si>
  <si>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</si>
  <si>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</si>
  <si>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</si>
  <si>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</si>
  <si>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</si>
  <si>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</si>
  <si>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</si>
  <si>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</si>
  <si>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</si>
  <si>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</si>
  <si>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</si>
  <si>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</si>
  <si>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</si>
  <si>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</si>
  <si>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</si>
  <si>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</si>
  <si>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</si>
  <si>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</si>
  <si>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</si>
  <si>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</si>
  <si>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</si>
  <si>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</si>
  <si>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</si>
  <si>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</si>
  <si>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</si>
  <si>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</si>
  <si>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</si>
  <si>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</si>
  <si>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</si>
  <si>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</si>
  <si>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</si>
  <si>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</si>
  <si>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</si>
  <si>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</si>
  <si>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</si>
  <si>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</si>
  <si>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</si>
  <si>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</si>
  <si>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</si>
  <si>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</si>
  <si>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</si>
  <si>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</si>
  <si>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</si>
  <si>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</si>
  <si>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</si>
  <si>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</si>
  <si>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</si>
  <si>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</si>
  <si>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</si>
  <si>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</si>
  <si>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</si>
  <si>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</si>
  <si>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</si>
  <si>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</si>
  <si>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</si>
  <si>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</si>
  <si>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</si>
  <si>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</si>
  <si>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</si>
  <si>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</si>
  <si>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</si>
  <si>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</si>
  <si>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</si>
  <si>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</si>
  <si>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</si>
  <si>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</si>
  <si>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</si>
  <si>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</si>
  <si>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</si>
  <si>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</si>
  <si>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</si>
  <si>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</si>
  <si>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</si>
  <si>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</si>
  <si>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</si>
  <si>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</si>
  <si>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</si>
  <si>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</si>
  <si>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</si>
  <si>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</si>
  <si>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</si>
  <si>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</si>
  <si>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</si>
  <si>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</si>
  <si>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</si>
  <si>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</si>
  <si>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</si>
  <si>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</si>
  <si>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</si>
  <si>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</si>
  <si>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</si>
  <si>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</si>
  <si>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</si>
  <si>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</si>
  <si>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</si>
  <si>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</si>
  <si>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</si>
  <si>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</si>
  <si>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</si>
  <si>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</si>
  <si>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</si>
  <si>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</si>
  <si>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</si>
  <si>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</si>
  <si>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</si>
  <si>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</si>
  <si>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</si>
  <si>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</si>
  <si>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</si>
  <si>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</si>
  <si>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</si>
  <si>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</si>
  <si>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</si>
  <si>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</si>
  <si>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</si>
  <si>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</si>
  <si>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</si>
  <si>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</si>
  <si>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</si>
  <si>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</si>
  <si>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</si>
  <si>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</si>
  <si>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</si>
  <si>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</si>
  <si>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</si>
  <si>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</si>
  <si>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</si>
  <si>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</si>
  <si>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</si>
  <si>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</si>
  <si>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</si>
  <si>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</si>
  <si>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</si>
  <si>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</si>
  <si>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</si>
  <si>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</si>
  <si>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</si>
  <si>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</si>
  <si>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</si>
  <si>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</si>
  <si>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</si>
  <si>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</si>
  <si>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</si>
  <si>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</si>
  <si>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</si>
  <si>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</si>
  <si>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</si>
  <si>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</si>
  <si>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</si>
  <si>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</si>
  <si>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</si>
  <si>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</si>
  <si>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</si>
  <si>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</si>
  <si>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</si>
  <si>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</si>
  <si>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</si>
  <si>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</si>
  <si>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</si>
  <si>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</si>
  <si>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</si>
  <si>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</si>
  <si>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</si>
  <si>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</si>
  <si>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</si>
  <si>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</si>
  <si>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</si>
  <si>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</si>
  <si>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</si>
  <si>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</si>
  <si>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</si>
  <si>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</si>
  <si>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</si>
  <si>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</si>
  <si>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</si>
  <si>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</si>
  <si>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</si>
  <si>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</si>
  <si>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</si>
  <si>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</si>
  <si>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</si>
  <si>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</si>
  <si>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</si>
  <si>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</si>
  <si>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</si>
  <si>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</si>
  <si>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</si>
  <si>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</si>
  <si>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</si>
  <si>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</si>
  <si>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</si>
  <si>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</si>
  <si>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</si>
  <si>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</si>
  <si>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</si>
  <si>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</si>
  <si>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</si>
  <si>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</si>
  <si>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</si>
  <si>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</si>
  <si>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</si>
  <si>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</si>
  <si>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OD Round 38</t>
  </si>
  <si>
    <t>Bonus Jobs</t>
  </si>
  <si>
    <t>+1% max population, +1 barren pop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</si>
</sst>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7">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xf numFmtId="0" fontId="6" fillId="0" borderId="0" xfId="0" applyNumberFormat="1" applyFo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ill>
        <patternFill>
          <bgColor indexed="29"/>
        </patternFill>
      </fill>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43" dataDxfId="942">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41">
      <calculatedColumnFormula>_xlfn.SINGLE(INDEX(TblRaces[],MATCH(race,TblRaces[Race],0),4))</calculatedColumnFormula>
    </tableColumn>
    <tableColumn id="2" xr3:uid="{00000000-0010-0000-0000-000002000000}" name="Offense" dataDxfId="940">
      <calculatedColumnFormula>_xlfn.IFNA(INDEX(TblRaces[],MATCH(TblUnits[[#This Row],[Unit Names]],TblRaces[Unitname],0),5),"")</calculatedColumnFormula>
    </tableColumn>
    <tableColumn id="3" xr3:uid="{00000000-0010-0000-0000-000003000000}" name="Defense" dataDxfId="939">
      <calculatedColumnFormula>_xlfn.IFNA(INDEX(TblRaces[],MATCH(TblUnits[[#This Row],[Unit Names]],TblRaces[Unitname],0),6),"")</calculatedColumnFormula>
    </tableColumn>
    <tableColumn id="4" xr3:uid="{00000000-0010-0000-0000-000004000000}" name="Platinum" dataDxfId="938">
      <calculatedColumnFormula>_xlfn.IFNA(INDEX(TblRaces[],MATCH(TblUnits[[#This Row],[Unit Names]],TblRaces[Unitname],0),7),"")</calculatedColumnFormula>
    </tableColumn>
    <tableColumn id="5" xr3:uid="{00000000-0010-0000-0000-000005000000}" name="Ore" dataDxfId="937">
      <calculatedColumnFormula>_xlfn.IFNA(INDEX(TblRaces[],MATCH(TblUnits[[#This Row],[Unit Names]],TblRaces[Unitname],0),8),"")</calculatedColumnFormula>
    </tableColumn>
    <tableColumn id="6" xr3:uid="{00000000-0010-0000-0000-000006000000}" name="Networth" dataDxfId="936">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5" dataDxfId="933" headerRowBorderDxfId="934" tableBorderDxfId="932">
  <autoFilter ref="H14:I32" xr:uid="{6EDA5300-DB26-4799-A5D1-5432AC102827}">
    <filterColumn colId="0" hiddenButton="1"/>
    <filterColumn colId="1" hiddenButton="1"/>
  </autoFilter>
  <tableColumns count="2">
    <tableColumn id="1" xr3:uid="{C93253AD-A598-462C-985D-E538FB5404AF}" name="Race Bonuses" dataDxfId="931"/>
    <tableColumn id="2" xr3:uid="{7301230A-1354-4459-BA19-9D8AE9608978}" name="Bonus" dataDxfId="930"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9" dataDxfId="928" tableBorderDxfId="927">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6"/>
    <tableColumn id="2" xr3:uid="{F7BA9D3F-F979-435F-AF55-B8562C7F08C8}" name=" " dataDxfId="925"/>
    <tableColumn id="3" xr3:uid="{C661B1D0-1EAD-42B7-889A-9265EA75CB1D}" name="Offense" dataDxfId="924"/>
    <tableColumn id="4" xr3:uid="{594F8FE6-285D-432D-AB90-DE26655C8963}" name="Bonus" dataDxfId="923"/>
    <tableColumn id="5" xr3:uid="{1A4EBEB0-1016-4D5D-920D-08D8AD7AFC97}" name="OP Mod" dataDxfId="922"/>
    <tableColumn id="6" xr3:uid="{0A455978-2417-4AD7-8969-95433ADAC6F4}" name="Defense" dataDxfId="921"/>
    <tableColumn id="7" xr3:uid="{3C4FEC10-2BEB-4EC0-AA98-F67CC8DBE5B5}" name="DP Bonus" dataDxfId="920"/>
    <tableColumn id="8" xr3:uid="{9CE669CC-5E7B-4E7B-8FFE-265EB626E935}" name="DP Mod" dataDxfId="919"/>
    <tableColumn id="9" xr3:uid="{7DE0C022-18E9-48B5-8835-9B63E8CC1CDF}" name="." dataDxfId="918"/>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7" dataDxfId="915" headerRowBorderDxfId="916" tableBorderDxfId="914">
  <autoFilter ref="H47:J51" xr:uid="{86CCA094-2F84-4D6A-BB34-AED37B4839D4}">
    <filterColumn colId="0" hiddenButton="1"/>
    <filterColumn colId="1" hiddenButton="1"/>
    <filterColumn colId="2" hiddenButton="1"/>
  </autoFilter>
  <tableColumns count="3">
    <tableColumn id="1" xr3:uid="{E0152EC7-4145-4063-BAB4-B6301A014F4B}" name="Type" dataDxfId="913"/>
    <tableColumn id="2" xr3:uid="{FAE1A1FE-F8EC-48F0-A8AF-ADF4B1F44E93}" name="Raw" dataDxfId="912"/>
    <tableColumn id="3" xr3:uid="{AFD4C97E-F124-4CC9-8087-32A6EB65C3D5}" name="Modded" dataDxfId="911"/>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10" dataDxfId="908" headerRowBorderDxfId="909" tableBorderDxfId="907">
  <autoFilter ref="H54:J57" xr:uid="{4A95BFF0-5AE4-4064-BA31-9F687E8E34BD}">
    <filterColumn colId="0" hiddenButton="1"/>
    <filterColumn colId="1" hiddenButton="1"/>
    <filterColumn colId="2" hiddenButton="1"/>
  </autoFilter>
  <tableColumns count="3">
    <tableColumn id="1" xr3:uid="{ACCDFB1C-E1AE-4F10-BB67-59F2B9780D01}" name="Hour" dataDxfId="906"/>
    <tableColumn id="2" xr3:uid="{277A266C-0AEF-4864-99C7-1E807FF68978}" name="Amount" dataDxfId="905"/>
    <tableColumn id="3" xr3:uid="{DD724D20-8039-4E15-A45D-F535D999ED97}" name="Without Training" dataDxfId="904"/>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03" dataDxfId="902" totalsRowDxfId="900" tableBorderDxfId="901">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9" totalsRowDxfId="898"/>
    <tableColumn id="2" xr3:uid="{739DBC51-BC77-4631-B107-088DC25245EB}" name="Amount" totalsRowFunction="sum" dataDxfId="897" totalsRowDxfId="896"/>
    <tableColumn id="3" xr3:uid="{41BF49B0-731E-480A-A25D-802B4380182E}" name="Relative" totalsRowFunction="custom" totalsRowDxfId="895"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4" dataDxfId="893" tableBorderDxfId="892">
  <autoFilter ref="D46:F69" xr:uid="{6C8ACB43-975F-416A-A510-CF883452891C}">
    <filterColumn colId="0" hiddenButton="1"/>
    <filterColumn colId="1" hiddenButton="1"/>
    <filterColumn colId="2" hiddenButton="1"/>
  </autoFilter>
  <tableColumns count="3">
    <tableColumn id="1" xr3:uid="{97F6A0D7-4C71-45E8-A9DA-F3DBEC3693D1}" name="Acres" dataDxfId="891"/>
    <tableColumn id="2" xr3:uid="{70370623-AE12-4AC1-B3BC-5FA6F33097E0}" name=" " dataDxfId="890"/>
    <tableColumn id="3" xr3:uid="{76F2AA18-B160-4225-A8AB-03D1370169AB}" name="   " dataDxfId="889"/>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8" dataDxfId="886" headerRowBorderDxfId="887" tableBorderDxfId="885">
  <autoFilter ref="D14:E18" xr:uid="{AF658822-94AE-4FD8-9D6D-E660E1B5C629}">
    <filterColumn colId="0" hiddenButton="1"/>
    <filterColumn colId="1" hiddenButton="1"/>
  </autoFilter>
  <tableColumns count="2">
    <tableColumn id="1" xr3:uid="{EFD90BA2-CBAC-4BDB-9434-40FB9C2485F4}" name="Date&amp;Time" dataDxfId="884"/>
    <tableColumn id="2" xr3:uid="{CCEF9A0F-7383-4941-A440-9E2452942487}" name="." dataDxfId="883"/>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82" dataDxfId="881" totalsRowDxfId="88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9" totalsRowDxfId="878">
      <calculatedColumnFormula>TblRezone[[#This Row],[Hour]]</calculatedColumnFormula>
    </tableColumn>
    <tableColumn id="2" xr3:uid="{7657952B-D9DB-46FC-BD8D-612DECDC04FD}" name="Time" dataDxfId="877" totalsRowDxfId="876">
      <calculatedColumnFormula>TblImps[[#This Row],[Time]]</calculatedColumnFormula>
    </tableColumn>
    <tableColumn id="3" xr3:uid="{767542B9-4E58-42E2-85BA-5C1DB6108363}" name="Peasants" dataDxfId="875" totalsRowDxfId="874">
      <calculatedColumnFormula>OFFSET(TblPop[[#This Row],[Peasants]],-1,0)+OFFSET(TblPop[[#This Row],[Net Peasant]],-1,0)+TblMili[[#This Row],[Release Draft]]</calculatedColumnFormula>
    </tableColumn>
    <tableColumn id="4" xr3:uid="{F5DC2705-5767-4AD0-A2E0-E36086D164C0}" name="Military" dataDxfId="873" totalsRowDxfId="872">
      <calculatedColumnFormula>TblMili[[#This Row],[Military]]</calculatedColumnFormula>
    </tableColumn>
    <tableColumn id="5" xr3:uid="{57E397CE-6C2C-48AE-9B2E-52E14099EAFC}" name="Draftees" dataDxfId="871" totalsRowDxfId="870">
      <calculatedColumnFormula>TblMili[[#This Row],[Draftees]]</calculatedColumnFormula>
    </tableColumn>
    <tableColumn id="6" xr3:uid="{7339086D-8AEE-45A5-B78D-EA6FDBA34E10}" name="Total" dataDxfId="869" totalsRowDxfId="868">
      <calculatedColumnFormula>TblPop[[#This Row],[Peasants]]+TblPop[[#This Row],[Military]]</calculatedColumnFormula>
    </tableColumn>
    <tableColumn id="7" xr3:uid="{75D92B6D-F4CA-42F7-80B3-4BF8A336E69C}" name="Military%" dataDxfId="867" totalsRowDxfId="866" dataCellStyle="Percent">
      <calculatedColumnFormula>TblPop[[#This Row],[Military]]/TblPop[[#This Row],[Total]]</calculatedColumnFormula>
    </tableColumn>
    <tableColumn id="8" xr3:uid="{257C6438-3205-4A45-9F91-ACD066CD59E8}" name="Employed" dataDxfId="865" totalsRowDxfId="864" dataCellStyle="Percent">
      <calculatedColumnFormula>MIN(TblPop[[#This Row],[Peasants]],TblPop[[#This Row],[Jobs]])</calculatedColumnFormula>
    </tableColumn>
    <tableColumn id="9" xr3:uid="{B05B6937-2C12-476B-B555-2A8ED6FF34EF}" name="Employment" dataDxfId="863" totalsRowDxfId="862" dataCellStyle="Percent">
      <calculatedColumnFormula>MIN(OFFSET(TblPop[[#This Row],[Jobs]],1,0)/TblPop[[#This Row],[Peasants]],1)</calculatedColumnFormula>
    </tableColumn>
    <tableColumn id="10" xr3:uid="{AD7F9BB7-A630-4BBB-AFEA-37B907196778}" name="Jobs" dataDxfId="89" totalsRowDxfId="861"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60" totalsRowDxfId="859" dataCellStyle="Percent"/>
    <tableColumn id="12" xr3:uid="{2EEFBFF9-40A4-412F-8FEC-C2F4799A06E6}" name=" Draftees" dataDxfId="858" totalsRowDxfId="857">
      <calculatedColumnFormula>TblPop[[#This Row],[Draftees]]</calculatedColumnFormula>
    </tableColumn>
    <tableColumn id="13" xr3:uid="{43729A62-E847-4DBB-BC42-62B1FB3DA7A5}" name="Unit 1" dataDxfId="856" totalsRowDxfId="855">
      <calculatedColumnFormula>TblMili[[#This Row],[Unit 1]]</calculatedColumnFormula>
    </tableColumn>
    <tableColumn id="14" xr3:uid="{C7A024F4-2376-4871-897D-90BEBEBC78B7}" name="Unit 2" dataDxfId="854" totalsRowDxfId="853">
      <calculatedColumnFormula>TblMili[[#This Row],[Unit 2]]</calculatedColumnFormula>
    </tableColumn>
    <tableColumn id="15" xr3:uid="{93EC8730-4D26-4E19-ADAA-3ED5C943F257}" name="Unit 3" dataDxfId="852" totalsRowDxfId="851">
      <calculatedColumnFormula>TblMili[[#This Row],[Unit 3]]</calculatedColumnFormula>
    </tableColumn>
    <tableColumn id="16" xr3:uid="{1A382ACC-9ED2-4A5E-BEE3-781B1DBCF186}" name="Unit 4" dataDxfId="850" totalsRowDxfId="849">
      <calculatedColumnFormula>TblMili[[#This Row],[Unit 4]]</calculatedColumnFormula>
    </tableColumn>
    <tableColumn id="17" xr3:uid="{491D1C19-D1B1-48C7-8FC6-BE77B7CD2635}" name="Spies" dataDxfId="848" totalsRowDxfId="847">
      <calculatedColumnFormula>TblMili[[#This Row],[Spies]]</calculatedColumnFormula>
    </tableColumn>
    <tableColumn id="18" xr3:uid="{1AF95FC5-21CD-41AC-A69F-CF5E9AF4AB85}" name="Wizards" dataDxfId="846" totalsRowDxfId="845">
      <calculatedColumnFormula>TblMili[[#This Row],[Wizards]]</calculatedColumnFormula>
    </tableColumn>
    <tableColumn id="19" xr3:uid="{C157D21E-FD58-4F24-A070-1819A7E2DA97}" name="Archmage" dataDxfId="844" totalsRowDxfId="843">
      <calculatedColumnFormula>TblMili[[#This Row],[Archmages]]</calculatedColumnFormula>
    </tableColumn>
    <tableColumn id="20" xr3:uid="{6BBFB632-E92F-4F29-AE3D-534C8288C615}" name=".." dataDxfId="842" totalsRowDxfId="841"/>
    <tableColumn id="21" xr3:uid="{59CAD00B-A8EE-455B-A015-E17ADF56A7B2}" name="Net max" dataDxfId="840" totalsRowDxfId="839">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38" totalsRowDxfId="837">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36" totalsRowDxfId="835">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34" totalsRowDxfId="833">
      <calculatedColumnFormula>ROUND(TblPop[[#This Row],[Raw Birth]]*(1+TblPop[[#This Row],[Growth]]),0)</calculatedColumnFormula>
    </tableColumn>
    <tableColumn id="25" xr3:uid="{26E60E7F-6DA3-49EF-99E8-26A0DAD2D630}" name="Raw Birth" dataDxfId="832" totalsRowDxfId="831">
      <calculatedColumnFormula>(TblPop[[#This Row],[Peasants]]-TblPop[[#This Row],[Draft Growth]])*raw_pop_growth</calculatedColumnFormula>
    </tableColumn>
    <tableColumn id="26" xr3:uid="{6E1274BE-772F-4747-A295-D51601B4FE11}" name="Draft Growth" dataDxfId="830" totalsRowDxfId="829">
      <calculatedColumnFormula>IF(TblPop[[#This Row],[Military%]]&lt;TblMili[[#This Row],[Draftrate]],ROUND(TblPop[[#This Row],[Peasants]]*Constants!$B$55,0), 0)</calculatedColumnFormula>
    </tableColumn>
    <tableColumn id="27" xr3:uid="{858CE2A0-AC9E-46FE-9A70-AED1578889CB}" name="...." dataDxfId="828" totalsRowDxfId="827"/>
    <tableColumn id="28" xr3:uid="{B271B9C7-94D1-498F-9FBB-69DF5F1BCE3F}" name="Growth" dataDxfId="826" totalsRowDxfId="825"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24" totalsRowDxfId="823"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22" dataDxfId="820" headerRowBorderDxfId="821" tableBorderDxfId="81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18"/>
    <tableColumn id="2" xr3:uid="{A509F8BB-FCD1-4951-8F3F-2AE2B32FB91D}" name="Time" dataDxfId="817">
      <calculatedColumnFormula>TblImps[[#This Row],[Time]]</calculatedColumnFormula>
    </tableColumn>
    <tableColumn id="3" xr3:uid="{BD173BCD-6C73-484D-BDFC-2CBFE8B32234}" name="Plat Bonus" dataDxfId="816"/>
    <tableColumn id="4" xr3:uid="{9A9B3DEC-EBEC-4801-BF4F-F90BBBCDF331}" name="." dataDxfId="815"/>
    <tableColumn id="5" xr3:uid="{6F9B5905-FA1D-4099-B9CC-6BE237355D58}" name="Land" dataDxfId="814">
      <calculatedColumnFormula>TblConstr[[#This Row],[Land]]</calculatedColumnFormula>
    </tableColumn>
    <tableColumn id="6" xr3:uid="{5ADA8DA4-36DC-4D4F-AE4E-76BDD26AF270}" name="Peasants" dataDxfId="813">
      <calculatedColumnFormula>TblPop[[#This Row],[Peasants]]</calculatedColumnFormula>
    </tableColumn>
    <tableColumn id="7" xr3:uid="{EE7F0FC7-4D30-4144-88EE-9A05AD7BF609}" name="Networth" dataDxfId="812">
      <calculatedColumnFormula>TblMili[[#This Row],[Networth (2)]]</calculatedColumnFormula>
    </tableColumn>
    <tableColumn id="8" xr3:uid="{F7B8E7A7-7AD4-4D83-8297-946670C39E55}" name="Platinum" dataDxfId="81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81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80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808">
      <calculatedColumnFormula>OFFSET(TblProd[[#This Row],[Mana]],-1,0)+OFFSET(TblProd[[#This Row],[Mana/hr]],-1,0)- TblProd[[#This Row],[Expenses Mana]]</calculatedColumnFormula>
    </tableColumn>
    <tableColumn id="12" xr3:uid="{C80C4246-7273-429F-BE79-86B1B4181061}" name="Ore" dataDxfId="807">
      <calculatedColumnFormula>OFFSET(TblProd[[#This Row],[Ore]],-1,0)+OFFSET(TblProd[[#This Row],[Ore/hr]],-1,0) -TblProd[[#This Row],[Expenses Ore]]</calculatedColumnFormula>
    </tableColumn>
    <tableColumn id="13" xr3:uid="{4174B9D9-5881-42F2-A514-2A7372C2B486}" name="Gems" dataDxfId="806">
      <calculatedColumnFormula>OFFSET(TblProd[[#This Row],[Gems]],-1,0)+OFFSET(TblProd[[#This Row],[Gems/hr]],-1,0) - TblProd[[#This Row],[Expenses Gems]]</calculatedColumnFormula>
    </tableColumn>
    <tableColumn id="14" xr3:uid="{C9DF5508-173B-4E9B-BD32-3313FC0AECA9}" name="Boats" dataDxfId="805">
      <calculatedColumnFormula>OFFSET(TblProd[[#This Row],[Boats]],-1,0)+OFFSET(TblProd[[#This Row],[Boats/hr]],-1,0)</calculatedColumnFormula>
    </tableColumn>
    <tableColumn id="15" xr3:uid="{C2EE37F5-4C79-4BD9-BE97-5B3BBB490CD3}" name="Prestige" dataDxfId="804">
      <calculatedColumnFormula>OFFSET(TblProd[[#This Row],[Prestige]],-1,0)</calculatedColumnFormula>
    </tableColumn>
    <tableColumn id="16" xr3:uid="{5EEA2772-71AB-4FF8-BF5F-D1D5B4044943}" name="Techpoints" dataDxfId="80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802">
      <calculatedColumnFormula>MAX(3900,_xlfn.CEILING.MATH(3600+TblProd[[#This Row],[Land]]*0.65+OFFSET(TblTech[[#This Row],[Sum of tech]],-1,0)*150))</calculatedColumnFormula>
    </tableColumn>
    <tableColumn id="18" xr3:uid="{BC60D6AE-146D-440E-93B9-050DE2CAED7A}" name=".." dataDxfId="801"/>
    <tableColumn id="19" xr3:uid="{F7A6187F-1DDE-45C0-B221-8BA0937C4E35}" name="Plat/hr" dataDxfId="800">
      <calculatedColumnFormula>ROUNDDOWN(TblProd[[#This Row],[Raw Plat/hr]]*(1+TblProd[[#This Row],[Bonus Plat/hr]]),0)</calculatedColumnFormula>
    </tableColumn>
    <tableColumn id="20" xr3:uid="{EBA5F35A-607A-475E-9357-98AF551D44A6}" name="Food/hr" dataDxfId="799">
      <calculatedColumnFormula>ROUND(TblProd[[#This Row],[Raw Food/hr]]*(1+TblProd[[#This Row],[Bonus Food/hr]])-TblProd[[#This Row],[Food decay]]-TblProd[[#This Row],[Food eaten]],0)</calculatedColumnFormula>
    </tableColumn>
    <tableColumn id="21" xr3:uid="{D75AA2A6-F107-4144-8A7D-4BE575236288}" name="Lumber/hr" dataDxfId="798">
      <calculatedColumnFormula>ROUND(TblProd[[#This Row],[Raw Lumber/hr]]*(1+TblProd[[#This Row],[Bonus Lumber/hr]])-TblProd[[#This Row],[Lumber rot]],0)</calculatedColumnFormula>
    </tableColumn>
    <tableColumn id="22" xr3:uid="{4AA82FE8-7AD6-4F9E-B8A1-627CE2E70CE0}" name="Mana/hr" dataDxfId="797">
      <calculatedColumnFormula>ROUND(TblProd[[#This Row],[Raw Mana/hr]]*(1+TblProd[[#This Row],[Bonus Mana/hr]])-TblProd[[#This Row],[Mana drain]],0)</calculatedColumnFormula>
    </tableColumn>
    <tableColumn id="23" xr3:uid="{86A49F4B-CDA3-4B61-B4D9-8830178E715E}" name="Ore/hr" dataDxfId="796">
      <calculatedColumnFormula>ROUNDDOWN(TblProd[[#This Row],[Raw Ore/hr]]*(1+TblProd[[#This Row],[Bonux Ore/hr]]),0)</calculatedColumnFormula>
    </tableColumn>
    <tableColumn id="24" xr3:uid="{F7C3BCF1-3F12-4405-8E19-ED1B9D20D049}" name="Gems/hr" dataDxfId="795">
      <calculatedColumnFormula>ROUNDDOWN(TblProd[[#This Row],[Raw Gems/hr]]*(1+TblProd[[#This Row],[Bonus Gems/hr]]),0)</calculatedColumnFormula>
    </tableColumn>
    <tableColumn id="25" xr3:uid="{E754A630-9007-4F8A-A8B7-C56609E09275}" name="Boats/hr" dataDxfId="794">
      <calculatedColumnFormula>OFFSET(TblConstr[[#This Row],[Tot Doc]],1,0)*dock_boats_hr * (1 + tech_4_1*TblTech[[#This Row],[4-1]])</calculatedColumnFormula>
    </tableColumn>
    <tableColumn id="26" xr3:uid="{8666710D-F3A4-4016-AA32-8D95B9BFFE3D}" name="…" dataDxfId="793"/>
    <tableColumn id="27" xr3:uid="{BE5DAA3C-8D26-4E0F-87D4-E9FE3E149040}" name="Raw Plat/hr" dataDxfId="792">
      <calculatedColumnFormula>TblPop[[#This Row],[Peasants]]*tax*TblPop[[#This Row],[Employment]] + (Construction!AZ5+Construction!BX5)*(alch_plat+(Magic!AM4&gt;0)*alchemist_flame_bonus)</calculatedColumnFormula>
    </tableColumn>
    <tableColumn id="28" xr3:uid="{72437831-3C94-4E01-9B66-637CE9F1FC37}" name="Raw Food/hr" dataDxfId="791">
      <calculatedColumnFormula>TblConstr[[#This Row],[Tot Farm]]*farm_food + TblConstr[[#This Row],[Tot Doc]]*dock_food</calculatedColumnFormula>
    </tableColumn>
    <tableColumn id="29" xr3:uid="{6327048A-17B4-47F0-A6D6-4DF606F8872E}" name="Raw Lumber/hr" dataDxfId="790">
      <calculatedColumnFormula>TblConstr[[#This Row],[Tot Ly]]*ly_lumber + TblConstr[[#This Row],[Tot Hav]]*fh_lumber</calculatedColumnFormula>
    </tableColumn>
    <tableColumn id="30" xr3:uid="{9564EF02-956D-4988-B195-94F7CC0C966B}" name="Raw Mana/hr" dataDxfId="789">
      <calculatedColumnFormula>OFFSET(TblConstr[[#This Row],[Tot Tow]],1,0)*(tower_mana + tech_4_5*TblTech[[#This Row],[4-5]]) + OFFSET(TblConstr[[#This Row],[Tot WG]],1,0)*wg_mana_prod</calculatedColumnFormula>
    </tableColumn>
    <tableColumn id="31" xr3:uid="{1FCC3E78-11E8-4286-A9C0-F9F5FA32B54A}" name="Raw Ore/hr" dataDxfId="788">
      <calculatedColumnFormula>OFFSET(TblConstr[[#This Row],[Tot OM]],1,0)*om_ore+IF(race="Dwarf",ROUNDDOWN(TblMili[[#This Row],[Unit 2]]*0.4,0),)</calculatedColumnFormula>
    </tableColumn>
    <tableColumn id="32" xr3:uid="{8AFDB340-E76D-4906-8F67-515703AD5439}" name="Raw Gems/hr" dataDxfId="787">
      <calculatedColumnFormula>OFFSET(TblConstr[[#This Row],[Tot DM]],1,0)*dm_gems</calculatedColumnFormula>
    </tableColumn>
    <tableColumn id="33" xr3:uid="{E86B471A-FB4B-478C-B269-80AA28A99240}" name="...." dataDxfId="786"/>
    <tableColumn id="34" xr3:uid="{9F134F8D-9272-4F13-BEA1-036303BDF806}" name="Bonus Plat/hr" dataDxfId="78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84">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8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82">
      <calculatedColumnFormula>race_mana_bonus+ 0 + TblImps[[#This Row],[Towers]] + tech_1_2*TblTech[[#This Row],[1-2]] + tech_3_4*TblTech[[#This Row],[3-4]]</calculatedColumnFormula>
    </tableColumn>
    <tableColumn id="38" xr3:uid="{86499F2E-9498-4D5B-8626-C51CB440415E}" name="Bonux Ore/hr" dataDxfId="78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80">
      <calculatedColumnFormula>race_gem_bonus+ tech_3_2*TblTech[[#This Row],[3-2]] + tech_4_3*TblTech[[#This Row],[4-3]] + tech_6_2*TblTech[[#This Row],[6-2]]</calculatedColumnFormula>
    </tableColumn>
    <tableColumn id="40" xr3:uid="{13CEE817-130E-4D49-8EA9-E724A91FD06F}" name="…." dataDxfId="779"/>
    <tableColumn id="41" xr3:uid="{6AD9C25C-A77A-4288-B914-DEAB151F3EBD}" name="Food decay" dataDxfId="778">
      <calculatedColumnFormula>TblProd[[#This Row],[Food]]*food_decay * (1 + tech_2_1*TblTech[[#This Row],[2-1]] + tech_2_8*TblTech[[#This Row],[2-8]])</calculatedColumnFormula>
    </tableColumn>
    <tableColumn id="42" xr3:uid="{B67A5DCA-7223-49B6-A0AC-BE56416DEAB6}" name="Food eaten" dataDxfId="777">
      <calculatedColumnFormula>(1+race_food_consumption)*TblPop[[#This Row],[Total]]*food_per_person*(1+tech_1_10*TblTech[[#This Row],[1-10]]+tech_7_5*TblTech[[#This Row],[7-5]])</calculatedColumnFormula>
    </tableColumn>
    <tableColumn id="43" xr3:uid="{2D142E97-FF43-492A-B271-A145B85E0BF3}" name="Lumber rot" dataDxfId="776">
      <calculatedColumnFormula>TblProd[[#This Row],[Lumber]]*lumber_rot * (1 + tech_2_1*TblTech[[#This Row],[2-1]] + tech_2_8*TblTech[[#This Row],[2-8]] + tech_5_2*TblTech[[#This Row],[5-2]])</calculatedColumnFormula>
    </tableColumn>
    <tableColumn id="44" xr3:uid="{B4C1A120-AC06-46C7-8824-18C19DD19A05}" name="Mana drain" dataDxfId="775">
      <calculatedColumnFormula>TblProd[[#This Row],[Mana]]*mana_drain * (1 + tech_2_1*TblTech[[#This Row],[2-1]] + tech_2_8*TblTech[[#This Row],[2-8]])</calculatedColumnFormula>
    </tableColumn>
    <tableColumn id="45" xr3:uid="{D3D223E8-8991-4557-84CB-F59345A9686F}" name="….." dataDxfId="774"/>
    <tableColumn id="46" xr3:uid="{0EFE67ED-4C56-4E46-B6BE-B5FAFB53783E}" name="Expenses Platinum" dataDxfId="77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72">
      <calculatedColumnFormula>TblConstr[[#This Row],[Total Lum Cost]]+TblImps[[#This Row],[L1]]-TblProd[[#This Row],[Bank Lumber]] + Military!$CL$25*TblMili[[#This Row],[Sec. rec. Cost]]</calculatedColumnFormula>
    </tableColumn>
    <tableColumn id="48" xr3:uid="{3C88EFC6-8DA5-40ED-A97A-2AAFD0B3B6AD}" name="Expenses Mana" dataDxfId="771">
      <calculatedColumnFormula>TblMagic[[#This Row],[Mana cost]] + Military!$CL$26*TblMili[[#This Row],[Sec. rec. Cost]]</calculatedColumnFormula>
    </tableColumn>
    <tableColumn id="49" xr3:uid="{1E4E3815-206F-4A61-AE33-CA14E995FDCB}" name="Expenses Ore" dataDxfId="770">
      <calculatedColumnFormula>Military!$CL$24*TblMili[[#This Row],[Sec. rec. Cost]]+TblImps[[#This Row],[O1]]-TblProd[[#This Row],[Bank Ore]]</calculatedColumnFormula>
    </tableColumn>
    <tableColumn id="50" xr3:uid="{8DF861B9-6D00-413F-82A6-CB9FB4344D68}" name="Expenses Gems" dataDxfId="769">
      <calculatedColumnFormula>TblImps[[#This Row],[G1]]-TblProd[[#This Row],[Bank Gems]]</calculatedColumnFormula>
    </tableColumn>
    <tableColumn id="51" xr3:uid="{B251D943-2DAF-44E5-BCC8-D6734C7115AC}" name="…..." dataDxfId="768"/>
    <tableColumn id="52" xr3:uid="{4B9E6D84-D900-4020-9F03-31B7E7CFFDDD}" name="Guard" dataDxfId="767">
      <calculatedColumnFormula>IF(TblProd[[#This Row],[Set Guard]]&lt;&gt;"",TblProd[[#This Row],[Set Guard]],OFFSET(TblProd[[#This Row],[Guard]],-1,0))</calculatedColumnFormula>
    </tableColumn>
    <tableColumn id="53" xr3:uid="{1F4E66ED-8544-4DEE-A238-E9BA6D663684}" name="Set Guard" dataDxfId="766"/>
    <tableColumn id="54" xr3:uid="{1D4B089E-CFD3-41C4-BDA0-74070303A629}" name="Hour (2)" dataDxfId="765">
      <calculatedColumnFormula>TblProd[[#This Row],[Hour]]</calculatedColumnFormula>
    </tableColumn>
    <tableColumn id="55" xr3:uid="{13D8CC8A-81E1-41BB-9F87-384EE02343C0}" name="Bank Plat" dataDxfId="764">
      <calculatedColumnFormula>-TblProd[[#This Row],[Bank Lumber]] / 2 + -TblProd[[#This Row],[Bank Gems]] * 2 + -TblProd[[#This Row],[Bank Ore]] / 2</calculatedColumnFormula>
    </tableColumn>
    <tableColumn id="56" xr3:uid="{41D3199A-B537-41B8-A35D-AB3FAE3A7763}" name="Bank Lumber" dataDxfId="763"/>
    <tableColumn id="57" xr3:uid="{F8C6B652-BED5-46E0-B507-4A728112F421}" name="Bank Ore" dataDxfId="762"/>
    <tableColumn id="58" xr3:uid="{0A836235-2002-4186-985F-CF495776E28E}" name="Bank Gems" dataDxfId="761"/>
    <tableColumn id="59" xr3:uid="{56B680F7-B10A-487B-B563-4297DE674256}" name="Time (2)" dataDxfId="760">
      <calculatedColumnFormula>TblProd[[#This Row],[Time]]</calculatedColumnFormula>
    </tableColumn>
    <tableColumn id="60" xr3:uid="{B3E3CCBD-6079-4735-A75E-072E37E0325B}" name="Ok?" dataDxfId="75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58">
      <calculatedColumnFormula>TblProd[[#This Row],[Platinum]]</calculatedColumnFormula>
    </tableColumn>
    <tableColumn id="62" xr3:uid="{BAE994A1-A5C4-42FD-B88E-93A7F2337723}" name="Stats Food" dataDxfId="757">
      <calculatedColumnFormula>TblProd[[#This Row],[Food]]</calculatedColumnFormula>
    </tableColumn>
    <tableColumn id="63" xr3:uid="{8FF996E7-6950-42AE-80FE-25BD3D3ADB81}" name="Stats Lumber" dataDxfId="756">
      <calculatedColumnFormula>TblProd[[#This Row],[Lumber]]</calculatedColumnFormula>
    </tableColumn>
    <tableColumn id="64" xr3:uid="{4E3282B4-65CE-45FC-B881-93C3F98E36E0}" name="Stats Mana" dataDxfId="755">
      <calculatedColumnFormula>TblProd[[#This Row],[Mana]]</calculatedColumnFormula>
    </tableColumn>
    <tableColumn id="65" xr3:uid="{C1490C22-CEF7-430F-B6CC-F7FDA2F90C17}" name="Stats Ore" dataDxfId="75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53" dataDxfId="751" totalsRowDxfId="749" headerRowBorderDxfId="752" tableBorderDxfId="75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48" totalsRowDxfId="747">
      <calculatedColumnFormula>TblRezone[[#This Row],[Hour]]</calculatedColumnFormula>
    </tableColumn>
    <tableColumn id="1" xr3:uid="{16A4A80A-781E-4E74-BC12-3B194ED2F6BF}" name="Barren" dataDxfId="746" totalsRowDxfId="745">
      <calculatedColumnFormula>SUM(TblConstr[[#This Row],[Plain]:[Water]])</calculatedColumnFormula>
    </tableColumn>
    <tableColumn id="2" xr3:uid="{F83194BF-B786-4A33-B371-25BE7289AC68}" name="Buildings" dataDxfId="744" totalsRowDxfId="743">
      <calculatedColumnFormula>SUM(TblConstr[[#This Row],[Tot Hom]:[Tot Doc]])</calculatedColumnFormula>
    </tableColumn>
    <tableColumn id="3" xr3:uid="{343846C5-19E9-4357-B5DD-B105ACEC8C2C}" name="Incoming" dataDxfId="742" totalsRowDxfId="741"/>
    <tableColumn id="4" xr3:uid="{A20911DB-7155-4794-AD46-07AAD44BDAFE}" name="." dataDxfId="740" totalsRowDxfId="739"/>
    <tableColumn id="5" xr3:uid="{279706A5-BDE6-4F21-9D4E-93DD796722CB}" name="Land" dataDxfId="738" totalsRowDxfId="737">
      <calculatedColumnFormula>TblConstr[[#This Row],[Barren]]+TblConstr[[#This Row],[Buildings]]+TblConstr[[#This Row],[Incoming]]</calculatedColumnFormula>
    </tableColumn>
    <tableColumn id="6" xr3:uid="{8D16C913-6FBB-42B5-890E-7AA3F7D780F3}" name="Plain" dataDxfId="736" totalsRowDxfId="735">
      <calculatedColumnFormula>OFFSET(TblConstr[[#This Row],[Plain]],-1,0)+TblConstr[[#This Row],[Ch_Plain]]</calculatedColumnFormula>
    </tableColumn>
    <tableColumn id="7" xr3:uid="{ECABDC59-2CFA-4924-832F-64BD947684FE}" name="Forest" dataDxfId="734" totalsRowDxfId="733">
      <calculatedColumnFormula>OFFSET(TblConstr[[#This Row],[Forest]],-1,0)+TblConstr[[#This Row],[Ch_Forest]]</calculatedColumnFormula>
    </tableColumn>
    <tableColumn id="8" xr3:uid="{AD888BC9-7B2A-431B-912B-F76B183C4BC2}" name="Mountain" dataDxfId="732" totalsRowDxfId="731">
      <calculatedColumnFormula>OFFSET(TblConstr[[#This Row],[Mountain]],-1,0)+TblConstr[[#This Row],[Ch_Mountain]]</calculatedColumnFormula>
    </tableColumn>
    <tableColumn id="9" xr3:uid="{B9F107CC-9E87-47F0-9669-7B4E32869962}" name="Hill" dataDxfId="730" totalsRowDxfId="729">
      <calculatedColumnFormula>OFFSET(TblConstr[[#This Row],[Hill]],-1,0)+TblConstr[[#This Row],[Ch_Hill]]</calculatedColumnFormula>
    </tableColumn>
    <tableColumn id="10" xr3:uid="{8067675A-D7AC-461C-B5B4-B2FDA278D46E}" name="Swamp" dataDxfId="728" totalsRowDxfId="727">
      <calculatedColumnFormula>OFFSET(TblConstr[[#This Row],[Swamp]],-1,0)+TblConstr[[#This Row],[Ch_Swamp]]</calculatedColumnFormula>
    </tableColumn>
    <tableColumn id="11" xr3:uid="{F6E4B820-D719-41FF-A537-55FE6AFBAF0E}" name="Cavern" dataDxfId="726" totalsRowDxfId="725">
      <calculatedColumnFormula>OFFSET(TblConstr[[#This Row],[Cavern]],-1,0)+TblConstr[[#This Row],[Ch_Cavern]]</calculatedColumnFormula>
    </tableColumn>
    <tableColumn id="12" xr3:uid="{54552E9E-E771-4104-87F6-20952C6A2D90}" name="Water" dataDxfId="724" totalsRowDxfId="723">
      <calculatedColumnFormula>OFFSET(TblConstr[[#This Row],[Water]],-1,0)+TblConstr[[#This Row],[Ch_Water]]</calculatedColumnFormula>
    </tableColumn>
    <tableColumn id="112" xr3:uid="{68F0FBE6-EBED-4B66-81D6-A19DB934C48D}" name="Hour  " dataDxfId="722" totalsRowDxfId="721">
      <calculatedColumnFormula>TblRezone[[#This Row],[Hour]]</calculatedColumnFormula>
    </tableColumn>
    <tableColumn id="14" xr3:uid="{6A739C2B-FED1-46DE-A6EC-2761E132E225}" name="Hom" dataDxfId="720" totalsRowDxfId="719"/>
    <tableColumn id="15" xr3:uid="{E50EB7D2-A060-4B91-920B-B3335EF23400}" name="Alc" dataDxfId="718" totalsRowDxfId="717"/>
    <tableColumn id="16" xr3:uid="{E3F8F390-578A-46F4-8079-68503504AE5A}" name="Far" dataDxfId="716" totalsRowDxfId="715"/>
    <tableColumn id="17" xr3:uid="{CC502929-3E3E-483C-AA45-1E8DC6E6F788}" name="Smi" dataDxfId="714" totalsRowDxfId="713"/>
    <tableColumn id="18" xr3:uid="{2849017C-83D2-48CF-BAFC-E8180F6B87B3}" name="Mas" dataDxfId="712" totalsRowDxfId="711"/>
    <tableColumn id="19" xr3:uid="{902080F0-045E-460C-8A94-D28082F0684A}" name="Ly" dataDxfId="710" totalsRowDxfId="709"/>
    <tableColumn id="20" xr3:uid="{74F11359-7A83-40C9-8D72-4E7342A4C5F6}" name="Hav" dataDxfId="708" totalsRowDxfId="707"/>
    <tableColumn id="21" xr3:uid="{2F4CD982-1BA1-4887-BEEF-D1CEDDFDCD98}" name="OM" dataDxfId="706" totalsRowDxfId="705"/>
    <tableColumn id="22" xr3:uid="{8FB86139-1373-407A-B799-7C5D49EF3A26}" name="GN" dataDxfId="704" totalsRowDxfId="703"/>
    <tableColumn id="23" xr3:uid="{283576BE-DC2F-4C4A-B83A-40303ED03A64}" name="Fac" dataDxfId="702" totalsRowDxfId="701"/>
    <tableColumn id="24" xr3:uid="{5CFB0CBF-3773-41F6-9B86-E1678AA28900}" name="GT" dataDxfId="700" totalsRowDxfId="699"/>
    <tableColumn id="25" xr3:uid="{19E4F682-9015-4478-9312-A3022D1FEEE9}" name="Bar" dataDxfId="698" totalsRowDxfId="697"/>
    <tableColumn id="26" xr3:uid="{013252D4-D385-4331-9170-92B5C8BB4C64}" name="Shr" dataDxfId="696" totalsRowDxfId="695"/>
    <tableColumn id="27" xr3:uid="{D4B27941-E688-419F-8B6F-B73F6CF2AB5B}" name="Tow" dataDxfId="694" totalsRowDxfId="693"/>
    <tableColumn id="28" xr3:uid="{17047BB4-364B-45DB-830B-858C7BD30B39}" name="Tem" dataDxfId="692" totalsRowDxfId="691"/>
    <tableColumn id="29" xr3:uid="{8910E8E2-8D7F-45E2-8559-CB4F40D25EB8}" name="WG" dataDxfId="690" totalsRowDxfId="689"/>
    <tableColumn id="30" xr3:uid="{BDAAD77D-88DB-4E61-9C07-44CAE4913F4B}" name="DM" dataDxfId="688" totalsRowDxfId="687"/>
    <tableColumn id="31" xr3:uid="{BFDB5F50-9A23-4E21-AEF0-8F150174C5D9}" name="Sch" dataDxfId="686" totalsRowDxfId="685"/>
    <tableColumn id="32" xr3:uid="{F4596035-B7F8-4B94-9B36-37B190EBF2F5}" name="Doc" dataDxfId="684" totalsRowDxfId="683"/>
    <tableColumn id="33" xr3:uid="{B506678F-5C96-41A2-B16E-01903002457C}" name="time" dataDxfId="682" totalsRowDxfId="681">
      <calculatedColumnFormula>TblImps[[#This Row],[Time]]</calculatedColumnFormula>
    </tableColumn>
    <tableColumn id="34" xr3:uid="{BBF9E4A7-4AD1-4256-838E-84E222A5E5B5}" name="Facs -DB" dataDxfId="680" totalsRowDxfId="679" dataCellStyle="Percent">
      <calculatedColumnFormula>MIN(25%,(TblConstr[[#This Row],[Tot Fac]]+TblConstr[[#This Row],[Dest Fac]])/(TblConstr[[#This Row],[Land]]-TblExplore[[#This Row],[Land Bonus]]*20))</calculatedColumnFormula>
    </tableColumn>
    <tableColumn id="35" xr3:uid="{CE9651FB-E7AA-4AC3-9369-D03ACA26B669}" name="Facs DB" dataDxfId="678" totalsRowDxfId="677" dataCellStyle="Percent">
      <calculatedColumnFormula>MIN(25%,(TblConstr[[#This Row],[Tot Fac]]+TblConstr[[#This Row],[Dest Fac]])/TblConstr[[#This Row],[Land]])</calculatedColumnFormula>
    </tableColumn>
    <tableColumn id="36" xr3:uid="{09991F89-DEAA-4698-A25A-D13F6565EDD4}" name="Platinum" dataDxfId="676" totalsRowDxfId="675">
      <calculatedColumnFormula>TblProd[[#This Row],[Platinum]]</calculatedColumnFormula>
    </tableColumn>
    <tableColumn id="37" xr3:uid="{98B47891-EB31-4D7F-8AC4-80255A877681}" name="Lumber" dataDxfId="674" totalsRowDxfId="673">
      <calculatedColumnFormula>TblProd[[#This Row],[Lumber]]</calculatedColumnFormula>
    </tableColumn>
    <tableColumn id="38" xr3:uid="{4BCC987F-ABDB-4939-B66E-9E39DDB56076}" name="CPA Platinum -DB" dataDxfId="672" totalsRowDxfId="67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70" totalsRowDxfId="66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68" totalsRowDxfId="66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66" totalsRowDxfId="665">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64" totalsRowDxfId="663">
      <calculatedColumnFormula>TblConstr[[#This Row],[build -db]]*TblConstr[[#This Row],[CPA Platinum -DB]] + TblConstr[[#This Row],[build db]]*TblConstr[[#This Row],[CPA Platinum DB]]</calculatedColumnFormula>
    </tableColumn>
    <tableColumn id="43" xr3:uid="{F2E3CBCF-A243-4043-87E8-17546293A159}" name="Total Lum Cost" dataDxfId="662" totalsRowDxfId="661">
      <calculatedColumnFormula>TblConstr[[#This Row],[build -db]]*TblConstr[[#This Row],[CPA Lumber -DB]]+TblConstr[[#This Row],[build db]]*TblConstr[[#This Row],[CPA Lumber DB]]</calculatedColumnFormula>
    </tableColumn>
    <tableColumn id="44" xr3:uid="{119F0A26-AFE5-4C99-86DF-E2019D697B1F}" name="build -db" dataDxfId="660" totalsRowDxfId="659">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58" totalsRowDxfId="657">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56" totalsRowDxfId="655"/>
    <tableColumn id="47" xr3:uid="{2AB27BA8-C2B6-44FC-89D1-B8C469C03A31}" name="RCPA Platinum " dataDxfId="654" totalsRowDxfId="653">
      <calculatedColumnFormula>ROUND((TblConstr[[#This Row],[Land]]-250 - IF(TblExplore[[#This Row],[Land Bonus]]&lt;&gt;0,20,0))*1.25 + 850 + 0,0)</calculatedColumnFormula>
    </tableColumn>
    <tableColumn id="48" xr3:uid="{745E4D31-3689-4F62-A15B-2D5399E746CA}" name="RCPA Lumber" dataDxfId="652">
      <calculatedColumnFormula>ROUND((TblConstr[[#This Row],[Land]]-250 - IF(TblExplore[[#This Row],[Land Bonus]]&lt;&gt;0,20,0))*0.285 + 87.5 + 0/4.25,0)</calculatedColumnFormula>
    </tableColumn>
    <tableColumn id="49" xr3:uid="{619C112A-EE5A-4710-AF52-5843FF4DB054}" name="…" dataDxfId="651" totalsRowDxfId="650"/>
    <tableColumn id="50" xr3:uid="{F2846ED2-FD2C-4B82-8D89-DEC4D6C89C45}" name="Tot Hom" dataDxfId="649" totalsRowDxfId="648">
      <calculatedColumnFormula array="1">IF(TblConstr[[#This Row],[Hour]:[Hour]]&gt;12,OFFSET(TblConstr[[#This Row],[Hom]],-12,0),0)+OFFSET(TblConstr[[#This Row],[Tot Hom]],-1,0)-TblConstr[[#This Row],[Dest Hom]]</calculatedColumnFormula>
    </tableColumn>
    <tableColumn id="51" xr3:uid="{3A820279-E5AD-460C-8EA2-56927C664532}" name="Tot Alc" dataDxfId="647" totalsRowDxfId="646">
      <calculatedColumnFormula array="1">IF(TblConstr[[#This Row],[Hour]:[Hour]]&gt;12,OFFSET(TblConstr[[#This Row],[Alc]],-12,0),0)+OFFSET(TblConstr[[#This Row],[Tot Alc]],-1,0)-TblConstr[[#This Row],[Dest Alc]]</calculatedColumnFormula>
    </tableColumn>
    <tableColumn id="52" xr3:uid="{2F201F1F-E604-470C-A21C-EF43882A5460}" name="Tot Farm" dataDxfId="645" totalsRowDxfId="644">
      <calculatedColumnFormula array="1">IF(TblConstr[[#This Row],[Hour]:[Hour]]&gt;12,OFFSET(TblConstr[[#This Row],[Far]],-12,0),0)+OFFSET(TblConstr[[#This Row],[Tot Farm]],-1,0)-TblConstr[[#This Row],[Dest Farm]]</calculatedColumnFormula>
    </tableColumn>
    <tableColumn id="53" xr3:uid="{CF25F1ED-4CEE-4702-9FD7-472555CAE1E7}" name="Tot Smi" dataDxfId="643" totalsRowDxfId="642">
      <calculatedColumnFormula array="1">IF(TblConstr[[#This Row],[Hour]:[Hour]]&gt;12,OFFSET(TblConstr[[#This Row],[Smi]],-12,0),0)+OFFSET(TblConstr[[#This Row],[Tot Smi]],-1,0)-TblConstr[[#This Row],[Dest Smi]]</calculatedColumnFormula>
    </tableColumn>
    <tableColumn id="54" xr3:uid="{AA2380E5-3483-49DB-91B7-F7447D6C17A7}" name="Tot Mas" dataDxfId="641" totalsRowDxfId="640">
      <calculatedColumnFormula array="1">IF(TblConstr[[#This Row],[Hour]:[Hour]]&gt;12,OFFSET(TblConstr[[#This Row],[Mas]],-12,0),0)+OFFSET(TblConstr[[#This Row],[Tot Mas]],-1,0)-TblConstr[[#This Row],[Dest Mas]]</calculatedColumnFormula>
    </tableColumn>
    <tableColumn id="55" xr3:uid="{9983477D-EC22-4053-88C9-D53436C89351}" name="Tot Ly" dataDxfId="639" totalsRowDxfId="638">
      <calculatedColumnFormula array="1">IF(TblConstr[[#This Row],[Hour]:[Hour]]&gt;12,OFFSET(TblConstr[[#This Row],[Ly]],-12,0),0)+OFFSET(TblConstr[[#This Row],[Tot Ly]],-1,0)-TblConstr[[#This Row],[Dest Ly]]</calculatedColumnFormula>
    </tableColumn>
    <tableColumn id="56" xr3:uid="{0A8A610F-D674-4772-9EB7-EC610164DF60}" name="Tot Hav" dataDxfId="637" totalsRowDxfId="636">
      <calculatedColumnFormula array="1">IF(TblConstr[[#This Row],[Hour]:[Hour]]&gt;12,OFFSET(TblConstr[[#This Row],[Hav]],-12,0),0)+OFFSET(TblConstr[[#This Row],[Tot Hav]],-1,0)-TblConstr[[#This Row],[Dest Hav]]</calculatedColumnFormula>
    </tableColumn>
    <tableColumn id="57" xr3:uid="{40570349-3AA5-42B4-9820-CC736C2D1B3D}" name="Tot OM" dataDxfId="635" totalsRowDxfId="634">
      <calculatedColumnFormula array="1">IF(TblConstr[[#This Row],[Hour]:[Hour]]&gt;12,OFFSET(TblConstr[[#This Row],[OM]],-12,0),0)+OFFSET(TblConstr[[#This Row],[Tot OM]],-1,0)-TblConstr[[#This Row],[Dest OM]]</calculatedColumnFormula>
    </tableColumn>
    <tableColumn id="58" xr3:uid="{D7C1895E-C93F-4CEE-BB20-88F13C3DA864}" name="Tot GN" dataDxfId="633" totalsRowDxfId="632">
      <calculatedColumnFormula array="1">IF(TblConstr[[#This Row],[Hour]:[Hour]]&gt;12,OFFSET(TblConstr[[#This Row],[GN]],-12,0),0)+OFFSET(TblConstr[[#This Row],[Tot GN]],-1,0)-TblConstr[[#This Row],[Dest GN]]</calculatedColumnFormula>
    </tableColumn>
    <tableColumn id="59" xr3:uid="{6C106580-CB33-4C2F-8B4D-856AC68AA85B}" name="Tot Fac" dataDxfId="631" totalsRowDxfId="630">
      <calculatedColumnFormula array="1">IF(TblConstr[[#This Row],[Hour]:[Hour]]&gt;12,OFFSET(TblConstr[[#This Row],[Fac]],-12,0),0)+OFFSET(TblConstr[[#This Row],[Tot Fac]],-1,0)-TblConstr[[#This Row],[Dest Fac]]</calculatedColumnFormula>
    </tableColumn>
    <tableColumn id="60" xr3:uid="{D3A39C76-EE6D-4C40-B64E-12EE496ACF75}" name="Tot GT" dataDxfId="629" totalsRowDxfId="628">
      <calculatedColumnFormula array="1">IF(TblConstr[[#This Row],[Hour]:[Hour]]&gt;12,OFFSET(TblConstr[[#This Row],[GT]],-12,0),0)+OFFSET(TblConstr[[#This Row],[Tot GT]],-1,0)-TblConstr[[#This Row],[Dest GT]]</calculatedColumnFormula>
    </tableColumn>
    <tableColumn id="61" xr3:uid="{3C88629E-DBB8-4626-8826-42DE21B8CCF3}" name="Tot Bar" dataDxfId="627" totalsRowDxfId="626">
      <calculatedColumnFormula array="1">IF(TblConstr[[#This Row],[Hour]:[Hour]]&gt;12,OFFSET(TblConstr[[#This Row],[Bar]],-12,0),0)+OFFSET(TblConstr[[#This Row],[Tot Bar]],-1,0)-TblConstr[[#This Row],[Dest Bar]]</calculatedColumnFormula>
    </tableColumn>
    <tableColumn id="62" xr3:uid="{9B339DEA-0599-4758-9D02-2BCE3EA7ACC3}" name="Tot Shr" dataDxfId="625" totalsRowDxfId="624">
      <calculatedColumnFormula array="1">IF(TblConstr[[#This Row],[Hour]:[Hour]]&gt;12,OFFSET(TblConstr[[#This Row],[Shr]],-12,0),0)+OFFSET(TblConstr[[#This Row],[Tot Shr]],-1,0)-TblConstr[[#This Row],[Dest Shr]]</calculatedColumnFormula>
    </tableColumn>
    <tableColumn id="63" xr3:uid="{BC8AAD30-881D-4FF0-9567-7FF1D9791913}" name="Tot Tow" dataDxfId="623" totalsRowDxfId="622">
      <calculatedColumnFormula array="1">IF(TblConstr[[#This Row],[Hour]:[Hour]]&gt;12,OFFSET(TblConstr[[#This Row],[Tow]],-12,0),0)+OFFSET(TblConstr[[#This Row],[Tot Tow]],-1,0)-TblConstr[[#This Row],[Dest Tow]]</calculatedColumnFormula>
    </tableColumn>
    <tableColumn id="64" xr3:uid="{59A3F80D-5052-4FDF-AF65-62DB182FD6A6}" name="Tot Tem" dataDxfId="621" totalsRowDxfId="620">
      <calculatedColumnFormula array="1">IF(TblConstr[[#This Row],[Hour]:[Hour]]&gt;12,OFFSET(TblConstr[[#This Row],[Tem]],-12,0),0)+OFFSET(TblConstr[[#This Row],[Tot Tem]],-1,0)-TblConstr[[#This Row],[Dest Tem]]</calculatedColumnFormula>
    </tableColumn>
    <tableColumn id="65" xr3:uid="{00A352BB-E75B-4E3F-AC3D-1D0DC0813148}" name="Tot WG" dataDxfId="619" totalsRowDxfId="618">
      <calculatedColumnFormula array="1">IF(TblConstr[[#This Row],[Hour]:[Hour]]&gt;12,OFFSET(TblConstr[[#This Row],[WG]],-12,0),0)+OFFSET(TblConstr[[#This Row],[Tot WG]],-1,0)-TblConstr[[#This Row],[Dest WG]]</calculatedColumnFormula>
    </tableColumn>
    <tableColumn id="66" xr3:uid="{AC79E3B7-8BF6-4AEF-AACC-9BCCADEEE9EC}" name="Tot DM" dataDxfId="617" totalsRowDxfId="616">
      <calculatedColumnFormula array="1">IF(TblConstr[[#This Row],[Hour]:[Hour]]&gt;12,OFFSET(TblConstr[[#This Row],[DM]],-12,0),0)+OFFSET(TblConstr[[#This Row],[Tot DM]],-1,0)-TblConstr[[#This Row],[Dest DM]]</calculatedColumnFormula>
    </tableColumn>
    <tableColumn id="67" xr3:uid="{0CFFF054-0F8D-4B14-9366-77ABD3382DE4}" name="Tot Sch" dataDxfId="615" totalsRowDxfId="614">
      <calculatedColumnFormula array="1">IF(TblConstr[[#This Row],[Hour]:[Hour]]&gt;12,OFFSET(TblConstr[[#This Row],[Sch]],-12,0),0)+OFFSET(TblConstr[[#This Row],[Tot Sch]],-1,0)-TblConstr[[#This Row],[Dest Sch]]</calculatedColumnFormula>
    </tableColumn>
    <tableColumn id="68" xr3:uid="{EEBD7864-CCF1-4E52-A4D7-93474D156483}" name="Tot Doc" dataDxfId="613" totalsRowDxfId="612">
      <calculatedColumnFormula array="1">IF(TblConstr[[#This Row],[Hour]:[Hour]]&gt;12,OFFSET(TblConstr[[#This Row],[Doc]],-12,0),0)+OFFSET(TblConstr[[#This Row],[Tot Doc]],-1,0)-TblConstr[[#This Row],[Dest Doc]]</calculatedColumnFormula>
    </tableColumn>
    <tableColumn id="69" xr3:uid="{9CB7D1EC-8231-4E29-AF89-78480EAACCBE}" name="…." dataDxfId="611" totalsRowDxfId="610"/>
    <tableColumn id="70" xr3:uid="{8AB60EC6-2503-4C64-93B5-EF0A15817646}" name="….." dataDxfId="609" totalsRowDxfId="608"/>
    <tableColumn id="71" xr3:uid="{E322C618-2AF7-4E39-8C00-05DB78D1E3E1}" name="Land (2)" dataDxfId="607" totalsRowDxfId="606">
      <calculatedColumnFormula>TblConstr[[#This Row],[Land]]</calculatedColumnFormula>
    </tableColumn>
    <tableColumn id="72" xr3:uid="{03634B5C-154E-4AC8-80E1-BA13BC9D96CD}" name="Time (2)" dataDxfId="605" totalsRowDxfId="604">
      <calculatedColumnFormula>TblImps[[#This Row],[Time]]</calculatedColumnFormula>
    </tableColumn>
    <tableColumn id="73" xr3:uid="{B2BF9056-6EBE-4C01-A8BD-B72B49E563E4}" name="…..." dataDxfId="603" totalsRowDxfId="602"/>
    <tableColumn id="74" xr3:uid="{E1DF0DF3-108E-4B1D-AD0D-B0438E0119B4}" name="Dest Hom" dataDxfId="601" totalsRowDxfId="600"/>
    <tableColumn id="75" xr3:uid="{E9A56C16-CD83-4CF4-801D-3F07F7F4410E}" name="Dest Alc" dataDxfId="599" totalsRowDxfId="598"/>
    <tableColumn id="76" xr3:uid="{83CFBDA2-FADE-4B08-B33E-9C2E9F9BF768}" name="Dest Farm" dataDxfId="597" totalsRowDxfId="596"/>
    <tableColumn id="77" xr3:uid="{19187257-0444-44F4-9D3D-6D0323F40019}" name="Dest Smi" dataDxfId="595" totalsRowDxfId="594"/>
    <tableColumn id="78" xr3:uid="{868AFE18-6FA1-48AB-ABF5-2F2AEFE5F988}" name="Dest Mas" dataDxfId="593" totalsRowDxfId="592"/>
    <tableColumn id="79" xr3:uid="{177B6B53-2F11-4209-8387-13A45749227F}" name="Dest Ly" dataDxfId="591" totalsRowDxfId="590"/>
    <tableColumn id="80" xr3:uid="{7546C506-76A9-4C40-A0E7-9A9D9E5AABE5}" name="Dest Hav" dataDxfId="589" totalsRowDxfId="588"/>
    <tableColumn id="81" xr3:uid="{ADDB86A6-E781-4DBE-8117-6F690916DDFA}" name="Dest OM" dataDxfId="587" totalsRowDxfId="586"/>
    <tableColumn id="82" xr3:uid="{B9BF98EC-18BF-465D-9531-8B38D89E91A0}" name="Dest GN" dataDxfId="585" totalsRowDxfId="584"/>
    <tableColumn id="83" xr3:uid="{E7A6D253-F3B2-42C8-99DD-B144C58FC0C5}" name="Dest Fac" dataDxfId="583" totalsRowDxfId="582"/>
    <tableColumn id="84" xr3:uid="{17104BBD-FC27-4D10-B29C-0273D3241FF4}" name="Dest GT" dataDxfId="581" totalsRowDxfId="580"/>
    <tableColumn id="85" xr3:uid="{99559D62-4D78-440A-98FE-DEBB129B435F}" name="Dest Bar" dataDxfId="579" totalsRowDxfId="578"/>
    <tableColumn id="86" xr3:uid="{9B2EEB8C-2FE8-47EE-A3E2-DC10DB45C7AB}" name="Dest Shr" dataDxfId="577" totalsRowDxfId="576"/>
    <tableColumn id="87" xr3:uid="{514D2AAA-E6E3-475E-9F65-8C732A78896D}" name="Dest Tow" dataDxfId="575" totalsRowDxfId="574"/>
    <tableColumn id="88" xr3:uid="{FAB7F148-62FD-4A01-9E52-E72AB5D98A80}" name="Dest Tem" dataDxfId="573" totalsRowDxfId="572"/>
    <tableColumn id="89" xr3:uid="{51F0AAF8-EA25-41BB-8274-29128D8E9309}" name="Dest WG" dataDxfId="571" totalsRowDxfId="570"/>
    <tableColumn id="90" xr3:uid="{B5DD0E4A-F9DA-46DF-AC1D-4C082F96D4FD}" name="Dest DM" dataDxfId="569" totalsRowDxfId="568"/>
    <tableColumn id="91" xr3:uid="{8374E536-FAFB-4695-B2E9-40E6A61A9D8E}" name="Dest Sch" dataDxfId="567" totalsRowDxfId="566"/>
    <tableColumn id="92" xr3:uid="{AB6E075B-E076-40E6-B2ED-7DBD5C2545B9}" name="Dest Doc" dataDxfId="565" totalsRowDxfId="564"/>
    <tableColumn id="93" xr3:uid="{A4B6EEF5-D4D4-4B9E-B020-F892CB1DC5F1}" name="…...." dataDxfId="563" totalsRowDxfId="562"/>
    <tableColumn id="94" xr3:uid="{A8785F66-A063-4182-BB5F-F2E489C44B8C}" name="Ch_Plain" dataDxfId="561" totalsRowDxfId="560">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59" totalsRowDxfId="558">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57" totalsRowDxfId="556">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55" totalsRowDxfId="554">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53" totalsRowDxfId="552">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51" totalsRowDxfId="550">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49" totalsRowDxfId="548">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47" totalsRowDxfId="546">
      <calculatedColumnFormula>IF(Explore!S4=1,20) - TblConstr[[#This Row],[Hom]] + TblConstr[[#This Row],[Dest Hom]]</calculatedColumnFormula>
    </tableColumn>
    <tableColumn id="102" xr3:uid="{A18B5339-7B5E-4FF1-B44C-54D91E2619B1}" name="…....." dataDxfId="545" totalsRowDxfId="544"/>
    <tableColumn id="103" xr3:uid="{4E3EEDB6-D8CB-4DA1-AC9F-29019C9A6FFC}" name="Total Plain" dataDxfId="543" totalsRowDxfId="542"/>
    <tableColumn id="104" xr3:uid="{669C7BA0-B3F2-47DA-B10D-81C2466FF6F3}" name="Total Forest" dataDxfId="541" totalsRowDxfId="540"/>
    <tableColumn id="105" xr3:uid="{B6EE778A-6E52-44FF-8691-B86F1650C2C2}" name="Total Mountain" dataDxfId="539" totalsRowDxfId="538"/>
    <tableColumn id="106" xr3:uid="{5FF89BD6-7921-4110-AD96-EA8B54555F1C}" name="Total Hill" dataDxfId="537" totalsRowDxfId="536"/>
    <tableColumn id="107" xr3:uid="{F920559E-5C73-4899-BC53-A9BA9E7DFC0C}" name="Total Swamp" dataDxfId="535" totalsRowDxfId="534"/>
    <tableColumn id="108" xr3:uid="{6462BCCF-F375-4DEC-B000-637E1187AA5E}" name="Total Cavern" dataDxfId="533" totalsRowDxfId="532"/>
    <tableColumn id="109" xr3:uid="{D966B8E0-E2CD-4374-AF05-B86C330B3BD4}" name="Total Water" dataDxfId="531" totalsRowDxfId="530"/>
    <tableColumn id="110" xr3:uid="{170A4E12-F563-448F-8964-EB5CA71BA3AF}" name="Homeland" dataDxfId="529" totalsRowDxfId="528">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27" totalsRowDxfId="526"/>
    <tableColumn id="114" xr3:uid="{EDC1B5E1-1E93-4946-BEC7-453EF5B18C9F}" name="Farms" dataDxfId="525" totalsRowDxfId="524">
      <calculatedColumnFormula>MAX(BA4-BA3,0)</calculatedColumnFormula>
    </tableColumn>
    <tableColumn id="115" xr3:uid="{1D02A65C-E8F6-4B66-A5EB-3699A9BE61C5}" name="Docks" totalsRowFunction="sum" dataDxfId="523" totalsRowDxfId="522">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21" dataDxfId="520" tableBorderDxfId="51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518">
      <calculatedColumnFormula>TblRezone[[#This Row],[Hour]]</calculatedColumnFormula>
    </tableColumn>
    <tableColumn id="2" xr3:uid="{DFB120B6-BC70-4091-A005-99D4961CB538}" name="Land" dataDxfId="517">
      <calculatedColumnFormula>TblConstr[[#This Row],[Land]]</calculatedColumnFormula>
    </tableColumn>
    <tableColumn id="3" xr3:uid="{05C32193-1764-4A8E-B877-789E51BD1927}" name="." dataDxfId="516"/>
    <tableColumn id="4" xr3:uid="{2DBA3229-29BD-4F1F-B6CD-9E822C9071D7}" name="Plains" dataDxfId="515">
      <calculatedColumnFormula>TblConstr[[#This Row],[Plain]]</calculatedColumnFormula>
    </tableColumn>
    <tableColumn id="5" xr3:uid="{3D1FE633-D61E-4157-92AE-5E68F0C48770}" name="Forest" dataDxfId="514">
      <calculatedColumnFormula>TblConstr[[#This Row],[Forest]]</calculatedColumnFormula>
    </tableColumn>
    <tableColumn id="6" xr3:uid="{D9ABEDC6-9211-428A-B587-3CA9C3BF9744}" name="Mountn" dataDxfId="513">
      <calculatedColumnFormula>TblConstr[[#This Row],[Mountain]]</calculatedColumnFormula>
    </tableColumn>
    <tableColumn id="7" xr3:uid="{190BAA64-9D9E-4080-878D-BF035387620E}" name="Hills" dataDxfId="512">
      <calculatedColumnFormula>TblConstr[[#This Row],[Hill]]</calculatedColumnFormula>
    </tableColumn>
    <tableColumn id="8" xr3:uid="{812744CE-DEB7-4A8A-8374-CD5852E8C168}" name="Swamp" dataDxfId="511">
      <calculatedColumnFormula>TblConstr[[#This Row],[Swamp]]</calculatedColumnFormula>
    </tableColumn>
    <tableColumn id="9" xr3:uid="{96D79F63-015A-4655-975B-A1C99185A034}" name="Caverns" dataDxfId="510">
      <calculatedColumnFormula>TblConstr[[#This Row],[Cavern]]</calculatedColumnFormula>
    </tableColumn>
    <tableColumn id="10" xr3:uid="{607DA3E5-8D4A-44F4-A35C-DDAF32BE627C}" name="Water" dataDxfId="509">
      <calculatedColumnFormula>TblConstr[[#This Row],[Water]]</calculatedColumnFormula>
    </tableColumn>
    <tableColumn id="11" xr3:uid="{12EC2AC2-5FD3-4D82-8C37-DB70DCC56DC2}" name="Column2" dataDxfId="508"/>
    <tableColumn id="12" xr3:uid="{B171FE82-C8DE-44A1-89CE-409ED8DDD9D4}" name="Column3" dataDxfId="507"/>
    <tableColumn id="13" xr3:uid="{8C0085EE-E99F-4C98-9D66-144A50E3623C}" name="Column4" dataDxfId="506"/>
    <tableColumn id="14" xr3:uid="{5686D8FB-FF86-4148-AF9E-C03A97A84AF3}" name="Smithies" dataDxfId="505" dataCellStyle="Percent">
      <calculatedColumnFormula>TblMili[[#This Row],[Smithies]]</calculatedColumnFormula>
    </tableColumn>
    <tableColumn id="15" xr3:uid="{A0DC0A41-1987-4EE6-99BA-624DB6ACB9BF}" name="Employm." dataDxfId="504" dataCellStyle="Percent">
      <calculatedColumnFormula>TblPop[[#This Row],[Employment]]</calculatedColumnFormula>
    </tableColumn>
    <tableColumn id="16" xr3:uid="{7B85DEA6-C72D-4EAB-B18F-155B3A80E27B}" name="Popul." dataDxfId="503" dataCellStyle="Percent">
      <calculatedColumnFormula>TblImps[[#This Row],[Population]]</calculatedColumnFormula>
    </tableColumn>
    <tableColumn id="17" xr3:uid="{0BE33934-A790-4489-A3A2-E553E3C4AAEE}" name="Land (2)" dataDxfId="502">
      <calculatedColumnFormula>TblExplore[[#This Row],[Land]]</calculatedColumnFormula>
    </tableColumn>
    <tableColumn id="18" xr3:uid="{1EE849E8-6296-4479-BDA2-30E4622212E0}" name="Hour (2)" dataDxfId="501">
      <calculatedColumnFormula>TblExplore[[#This Row],[Hour]]</calculatedColumnFormula>
    </tableColumn>
    <tableColumn id="19" xr3:uid="{802EC67C-58E0-4E2B-9471-52B76B3F516A}" name="Land Bonus" dataDxfId="500"/>
    <tableColumn id="20" xr3:uid="{B1DC4E54-695A-4FE1-A303-67B047732E38}" name="Plains Explore" dataDxfId="499"/>
    <tableColumn id="21" xr3:uid="{28A63039-E9F4-4C91-BC61-38AFA90CBBA3}" name="Forest Explore" dataDxfId="498"/>
    <tableColumn id="22" xr3:uid="{52A3F218-67B7-4353-9DCD-90E402F80D3A}" name="Mountain Explore" dataDxfId="497"/>
    <tableColumn id="23" xr3:uid="{CADD78BB-1A84-4EF1-B568-74D7A7333BED}" name="Hill Explore" dataDxfId="496"/>
    <tableColumn id="24" xr3:uid="{86B12DCD-5E50-4631-800C-3D06D0C8407F}" name="Swamp Explore" dataDxfId="495"/>
    <tableColumn id="25" xr3:uid="{41A3F8D1-C19F-4B01-A125-BD6C5BE75F1D}" name="Cavern Explore" dataDxfId="494"/>
    <tableColumn id="26" xr3:uid="{DD83E77E-8C71-44A7-BF29-B8595544CC0D}" name="Water Explore" dataDxfId="493"/>
    <tableColumn id="27" xr3:uid="{6F68BDB2-663F-44CE-A108-1184CFBBBFB9}" name="Time" dataDxfId="492">
      <calculatedColumnFormula>TblImps[[#This Row],[Real time]]</calculatedColumnFormula>
    </tableColumn>
    <tableColumn id="28" xr3:uid="{0FBA88C1-4190-4A95-897B-20B88A072234}" name="Draftees" dataDxfId="491">
      <calculatedColumnFormula>TblMili[[#This Row],[Draftees]]</calculatedColumnFormula>
    </tableColumn>
    <tableColumn id="29" xr3:uid="{4EFD1992-02FD-4356-A327-EBEED01908DD}" name="Platinum" dataDxfId="490">
      <calculatedColumnFormula>TblProd[[#This Row],[Platinum]]</calculatedColumnFormula>
    </tableColumn>
    <tableColumn id="30" xr3:uid="{3D9A7B33-B273-4A01-8F7D-822B1BEB344B}" name=".." dataDxfId="489"/>
    <tableColumn id="31" xr3:uid="{EDB0F070-B31D-4B00-90A6-0A190E3CA80B}" name="Land-DB" dataDxfId="488">
      <calculatedColumnFormula>TblExplore[[#This Row],[Land]]-TblExplore[[#This Row],[Land Bonus]]*20</calculatedColumnFormula>
    </tableColumn>
    <tableColumn id="32" xr3:uid="{B94D1074-50E9-44F1-8957-6BE450DE4BF0}" name="Plat/acre" dataDxfId="487">
      <calculatedColumnFormula>ROUND(MAX(0.6*TblExplore[[#This Row],[Land-DB]]^1.299,850)*(1+ tech_2_6*Techs!AC4 + tech_2_9*Techs!AF4 + tech_3_7*Techs!AN4 + Overview!$I$32),0)</calculatedColumnFormula>
    </tableColumn>
    <tableColumn id="33" xr3:uid="{F0CBDA56-E75F-4156-B9BD-681857934D22}" name="Draftees/acre" dataDxfId="486">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85">
      <calculatedColumnFormula>SUM(TblExplore[[#This Row],[Plains Explore]:[Water Explore]])*TblExplore[[#This Row],[Plat/acre]]</calculatedColumnFormula>
    </tableColumn>
    <tableColumn id="35" xr3:uid="{61575F8F-5343-43C9-858D-AF8501368779}" name="Draftees (2)" dataDxfId="484">
      <calculatedColumnFormula>SUM(TblExplore[[#This Row],[Plains Explore]:[Water Explore]])*TblExplore[[#This Row],[Draftees/acre]]</calculatedColumnFormula>
    </tableColumn>
    <tableColumn id="36" xr3:uid="{BD4C2C0C-7F81-4BE8-9828-9CFCFFAFF394}" name="Max Explore" dataDxfId="483">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82" dataDxfId="481" tableBorderDxfId="480">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79">
      <calculatedColumnFormula>TblConstr[[#This Row],[Land]]</calculatedColumnFormula>
    </tableColumn>
    <tableColumn id="2" xr3:uid="{09D3C0EB-2481-406C-ABC2-3B9FE0683D68}" name="Plains" dataDxfId="478">
      <calculatedColumnFormula>TblConstr[[#This Row],[Plain]]</calculatedColumnFormula>
    </tableColumn>
    <tableColumn id="3" xr3:uid="{E95763D4-88E5-487A-9912-CB5FED512375}" name="Forest" dataDxfId="477">
      <calculatedColumnFormula>TblConstr[[#This Row],[Forest]]</calculatedColumnFormula>
    </tableColumn>
    <tableColumn id="4" xr3:uid="{62B2173B-885E-48E7-B615-089739267B8E}" name="Mountains" dataDxfId="476">
      <calculatedColumnFormula>TblConstr[[#This Row],[Mountain]]</calculatedColumnFormula>
    </tableColumn>
    <tableColumn id="5" xr3:uid="{4FA61465-41A2-4497-AB2D-7B63B7113E12}" name="Hills" dataDxfId="475">
      <calculatedColumnFormula>TblConstr[[#This Row],[Hill]]</calculatedColumnFormula>
    </tableColumn>
    <tableColumn id="6" xr3:uid="{FC27A0D5-6BB5-414B-8DEB-98AD07E7EBFF}" name="Swamp" dataDxfId="474">
      <calculatedColumnFormula>TblConstr[[#This Row],[Swamp]]</calculatedColumnFormula>
    </tableColumn>
    <tableColumn id="7" xr3:uid="{E95EDCE9-4D0A-4F4F-80D0-F52A495BDAE2}" name="Caverns" dataDxfId="473">
      <calculatedColumnFormula>TblConstr[[#This Row],[Cavern]]</calculatedColumnFormula>
    </tableColumn>
    <tableColumn id="8" xr3:uid="{4D162EFF-D831-41C8-9A17-B9113296E43B}" name="Water" dataDxfId="472">
      <calculatedColumnFormula>TblConstr[[#This Row],[Water]]</calculatedColumnFormula>
    </tableColumn>
    <tableColumn id="9" xr3:uid="{D55A4201-089D-415F-8D4D-3ECCCB36C63A}" name="." dataDxfId="471"/>
    <tableColumn id="10" xr3:uid="{DD5BAECA-959B-44B4-BFE4-04100EF42CEE}" name="Hour" dataDxfId="470">
      <calculatedColumnFormula>J3+1</calculatedColumnFormula>
    </tableColumn>
    <tableColumn id="11" xr3:uid="{BBC04AC2-481C-43B9-8F7E-DA11BD9865DF}" name="Time" dataDxfId="469">
      <calculatedColumnFormula>TblImps[[#This Row],[Real time]]</calculatedColumnFormula>
    </tableColumn>
    <tableColumn id="12" xr3:uid="{D6C776EF-706C-4E21-B5A7-00C9AD08F8F2}" name="Plains Rezone" dataDxfId="468"/>
    <tableColumn id="13" xr3:uid="{8517A176-425D-4D28-9953-4EC1AA93C82D}" name="Forest Rezone" dataDxfId="467"/>
    <tableColumn id="14" xr3:uid="{6C6986FB-4B34-4620-9F5C-E204CA007C29}" name="Mountain Rezone" dataDxfId="466"/>
    <tableColumn id="15" xr3:uid="{A238C8DA-37C8-4B93-BDB9-803627A51455}" name="Hill Rezone" dataDxfId="465"/>
    <tableColumn id="16" xr3:uid="{6F93D167-46BB-49F9-99E2-4FE4FA89F6F6}" name="Swamp Rezone" dataDxfId="464"/>
    <tableColumn id="17" xr3:uid="{2891557D-037E-43FE-B080-6B5406778FAE}" name="Cavern Rezone" dataDxfId="463"/>
    <tableColumn id="18" xr3:uid="{C6630C4B-97F3-4512-833F-587ADB90804D}" name="Water Rezone" dataDxfId="462"/>
    <tableColumn id="19" xr3:uid="{71938840-BA0F-4F0E-90C2-866B3EEED32E}" name="Total acres" dataDxfId="461">
      <calculatedColumnFormula>SUMIF(TblRezone[[#This Row],[Plains Rezone]:[Water Rezone]],"&gt;0")</calculatedColumnFormula>
    </tableColumn>
    <tableColumn id="20" xr3:uid="{A48C796B-764B-4744-95D2-0DB5292F5562}" name="Ok?" dataDxfId="460">
      <calculatedColumnFormula>IF(SUM(TblRezone[[#This Row],[Plains Rezone]:[Water Rezone]])=0,"Ok","Nope")</calculatedColumnFormula>
    </tableColumn>
    <tableColumn id="21" xr3:uid="{2EBFAAC1-440A-44F3-A930-C229C35B9BD3}" name=".." dataDxfId="459"/>
    <tableColumn id="22" xr3:uid="{2020F260-8DB5-44E6-A131-B44D79AF6B62}" name="Platinum" dataDxfId="458">
      <calculatedColumnFormula>TblProd[[#This Row],[Platinum]]</calculatedColumnFormula>
    </tableColumn>
    <tableColumn id="23" xr3:uid="{81A5A213-A750-4DD5-8456-6B104D493CA4}" name="…" dataDxfId="457"/>
    <tableColumn id="24" xr3:uid="{8EF28125-DA30-4482-ADE4-2B916A90CAD2}" name="Plat/acre" dataDxfId="456">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55">
      <calculatedColumnFormula>TblRezone[[#This Row],[Total acres]]*TblRezone[[#This Row],[Plat/acre]]</calculatedColumnFormula>
    </tableColumn>
    <tableColumn id="26" xr3:uid="{685D7DEA-DD3C-4385-BEC6-C5DBEEE6B44D}" name="…." dataDxfId="454"/>
    <tableColumn id="27" xr3:uid="{44BE000A-0846-46D4-B9B4-8728EC5881AB}" name="Plat/acre*" dataDxfId="453">
      <calculatedColumnFormula>250+0.6*(TblRezone[[#This Row],[Land]]-250)</calculatedColumnFormula>
    </tableColumn>
    <tableColumn id="28" xr3:uid="{3AFBA97F-9340-4669-BF68-67D7B351BBD4}" name="….." dataDxfId="452"/>
    <tableColumn id="29" xr3:uid="{D8C9DC04-80EE-49BF-BEDB-6FEC536A5F93}" name="Facs" dataDxfId="451">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450" dataDxfId="448" headerRowBorderDxfId="449" tableBorderDxfId="447">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446">
      <calculatedColumnFormula>TblRezone[[#This Row],[Hour]]</calculatedColumnFormula>
    </tableColumn>
    <tableColumn id="2" xr3:uid="{EAC413AF-EC0E-4C34-B6C3-F5AE2181B0A0}" name="Military" dataDxfId="445">
      <calculatedColumnFormula>SUM(TblMili[[#This Row],[Unit 1]:[Archmages]])+SUM(TblMili[[#This Row],[Train Unit 1]:[Train Unit 4]])+TblMili[[#This Row],[Draftees]]</calculatedColumnFormula>
    </tableColumn>
    <tableColumn id="3" xr3:uid="{B9847F02-8883-462E-B245-62A25138A973}" name="Military%" dataDxfId="444">
      <calculatedColumnFormula>TblPop[[#This Row],[Military%]]</calculatedColumnFormula>
    </tableColumn>
    <tableColumn id="4" xr3:uid="{873B66D3-9A4C-4CF2-ADD1-BF3696F9A721}" name="." dataDxfId="443"/>
    <tableColumn id="5" xr3:uid="{FC5A3C7C-0387-4B98-9BB7-AC3A387EAFF0}" name="Unit 1" dataDxfId="442">
      <calculatedColumnFormula>OFFSET(TblMili[[#This Row],[Unit 1]],-1,0) - TblMili[[#This Row],[Release Unit 1]]</calculatedColumnFormula>
    </tableColumn>
    <tableColumn id="6" xr3:uid="{A8BE2C9D-1318-46BD-B50B-D87014E90395}" name="Unit 2" dataDxfId="441">
      <calculatedColumnFormula>OFFSET(TblMili[[#This Row],[Unit 2]],-1,0)-TblMili[[#This Row],[Release Unit 2]]</calculatedColumnFormula>
    </tableColumn>
    <tableColumn id="7" xr3:uid="{49487FD4-4EF4-4722-A4A4-FCC0DD98F9F2}" name="Unit 3" dataDxfId="440">
      <calculatedColumnFormula>OFFSET(TblMili[[#This Row],[Unit 3]],-1,0)-TblMili[[#This Row],[Release Unit 3]]</calculatedColumnFormula>
    </tableColumn>
    <tableColumn id="8" xr3:uid="{739E7790-2960-445C-A5B2-C6064A881CDF}" name="Unit 4" dataDxfId="439">
      <calculatedColumnFormula>OFFSET(TblMili[[#This Row],[Unit 4]],-1,0)-TblMili[[#This Row],[Release Unit 4]]</calculatedColumnFormula>
    </tableColumn>
    <tableColumn id="9" xr3:uid="{0DB25EC0-D296-415A-BF65-DA60D7174CD2}" name="Spies" dataDxfId="438">
      <calculatedColumnFormula>OFFSET(TblMili[[#This Row],[Spies]],-1,0)-TblMili[[#This Row],[Release Spies]]</calculatedColumnFormula>
    </tableColumn>
    <tableColumn id="109" xr3:uid="{1E772BA5-219C-4FDC-ABC4-BDFC09C3EC97}" name="Archspies" dataDxfId="437"/>
    <tableColumn id="10" xr3:uid="{1B32AEAE-0DB3-4DD4-8543-1BD37596FD6C}" name="Wizards" dataDxfId="436">
      <calculatedColumnFormula>OFFSET(TblMili[[#This Row],[Wizards]],-1,0)-TblMili[[#This Row],[Release Wizards]]-TblMili[[#This Row],[Train AM]]</calculatedColumnFormula>
    </tableColumn>
    <tableColumn id="11" xr3:uid="{ED512AF5-16B2-421C-BF95-07157DB57B9D}" name="Archmages" dataDxfId="435">
      <calculatedColumnFormula>OFFSET(TblMili[[#This Row],[Archmages]],-1,0)-TblMili[[#This Row],[Release AM]]</calculatedColumnFormula>
    </tableColumn>
    <tableColumn id="12" xr3:uid="{CADE9B79-5861-46C5-8C69-B19C0F0551CF}" name=".." dataDxfId="434"/>
    <tableColumn id="13" xr3:uid="{18901E43-A967-4D1C-A56F-B4449A6C28E5}" name="Networth" dataDxfId="433">
      <calculatedColumnFormula>TblProd[[#This Row],[Networth]]</calculatedColumnFormula>
    </tableColumn>
    <tableColumn id="14" xr3:uid="{2F50B0FF-1C90-493E-BE67-86AFE22B6059}" name="…" dataDxfId="432"/>
    <tableColumn id="15" xr3:uid="{800A8F5F-B777-4995-AD6F-4DF929E0A477}" name="Raw" dataDxfId="431">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430">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429">
      <calculatedColumnFormula>TblMili[[#This Row],[Raw]]*(1+TblMili[[#This Row],[Mods_Off]])</calculatedColumnFormula>
    </tableColumn>
    <tableColumn id="18" xr3:uid="{49AD1BCC-C9BC-46CD-8B38-93838D61E9DD}" name="Non Draft" dataDxfId="428">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427">
      <calculatedColumnFormula>TblMili[[#This Row],[Non Draft]]+TblMili[[#This Row],[Draftees]]</calculatedColumnFormula>
    </tableColumn>
    <tableColumn id="20" xr3:uid="{C64B2C83-F9B3-427D-8326-C6954139623D}" name="Mods_Def" dataDxfId="426">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425" dataCellStyle="Comma">
      <calculatedColumnFormula>TblMili[[#This Row],[Non Draft]] * (1 + TblMili[[#This Row],[Mods_Def]])</calculatedColumnFormula>
    </tableColumn>
    <tableColumn id="22" xr3:uid="{EA8914C0-CD98-4E5C-A923-EA0F9E30F1EA}" name="Draft (mod)" dataDxfId="424">
      <calculatedColumnFormula>TblMili[[#This Row],[Draft]] * (1 + TblMili[[#This Row],[Mods_Def]])</calculatedColumnFormula>
    </tableColumn>
    <tableColumn id="23" xr3:uid="{EAC9356D-CE42-4256-BB93-BF208B480555}" name="Land" dataDxfId="423">
      <calculatedColumnFormula>TblConstr[[#This Row],[Land]]</calculatedColumnFormula>
    </tableColumn>
    <tableColumn id="24" xr3:uid="{D4A87242-2EDC-47D9-8CA4-84D822469E1B}" name="Set" dataDxfId="422"/>
    <tableColumn id="25" xr3:uid="{448088C9-E1C1-47E6-9443-BE83ECC5C2F2}" name="Draftrate" dataDxfId="421" dataCellStyle="Percent">
      <calculatedColumnFormula>IF(TblMili[[#This Row],[Set]]&lt;&gt;"",TblMili[[#This Row],[Set]],OFFSET(TblMili[[#This Row],[Draftrate]],-1,0))</calculatedColumnFormula>
    </tableColumn>
    <tableColumn id="26" xr3:uid="{EE8F6844-A68F-416E-B5A0-7B6FA4C5DE98}" name="Draftees" dataDxfId="420">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419"/>
    <tableColumn id="28" xr3:uid="{0B20A7CE-7BB6-4469-889B-DF744233C462}" name="Smithies" dataDxfId="418" dataCellStyle="Percent">
      <calculatedColumnFormula>(TblConstr[[#This Row],[Tot Smi]]+TblConstr[[#This Row],[Dest Smi]])/(TblConstr[[#This Row],[Land]]-TblExplore[[#This Row],[Land Bonus]]*20)</calculatedColumnFormula>
    </tableColumn>
    <tableColumn id="29" xr3:uid="{A03A8504-EBEF-4639-9EE4-238592848C94}" name="….." dataDxfId="417"/>
    <tableColumn id="30" xr3:uid="{4B521A36-EE77-42BE-850C-0D858F3717A6}" name="Hour (2)" dataDxfId="416">
      <calculatedColumnFormula>TblMili[[#This Row],[Hour]]</calculatedColumnFormula>
    </tableColumn>
    <tableColumn id="31" xr3:uid="{D44FE507-2C86-49D9-BC07-83C7B27BB255}" name="Time" dataDxfId="415">
      <calculatedColumnFormula>TblExplore[[#This Row],[Time]]</calculatedColumnFormula>
    </tableColumn>
    <tableColumn id="32" xr3:uid="{0DAD6AB9-2259-4821-8771-37863F1ED4CC}" name="Train Unit 1" dataDxfId="414"/>
    <tableColumn id="33" xr3:uid="{0E43B866-578B-4060-84D1-01656CB368A4}" name="Train Unit 2" dataDxfId="413"/>
    <tableColumn id="34" xr3:uid="{3AAC979B-4FF3-4EFF-8F6E-BD28BBE2B8BD}" name="Train Unit 3" dataDxfId="412"/>
    <tableColumn id="35" xr3:uid="{EC6B8083-BC72-4376-9760-2275CF62C1A6}" name="Train Unit 4" dataDxfId="411"/>
    <tableColumn id="36" xr3:uid="{DE15CA92-2C69-4205-88B3-DE37F5AAF9A6}" name="Train Spies" dataDxfId="410"/>
    <tableColumn id="107" xr3:uid="{917516D6-B00F-4F57-ADB0-6C22D2A96B9F}" name="Train AS" dataDxfId="409"/>
    <tableColumn id="37" xr3:uid="{97770C71-624D-4E73-A8AD-D79927F45908}" name="Train Wiz" dataDxfId="408"/>
    <tableColumn id="38" xr3:uid="{4E456233-AA67-4D90-9179-339EBD335F62}" name="Train AM" dataDxfId="407"/>
    <tableColumn id="39" xr3:uid="{29C90460-5421-4EA7-A4CB-BDA1C40BF8A1}" name="…..." dataDxfId="406"/>
    <tableColumn id="40" xr3:uid="{2C04ED42-9AAF-4375-A8D4-18DA4B397FAA}" name="Platinum" dataDxfId="405">
      <calculatedColumnFormula>TblProd[[#This Row],[Platinum]]</calculatedColumnFormula>
    </tableColumn>
    <tableColumn id="41" xr3:uid="{122C6EDE-4C24-4A3C-9FA2-6A7942348604}" name="Secondary recource" dataDxfId="404">
      <calculatedColumnFormula>INDEX(TblProd[[#Headers],[Lumber]]:TblProd[[#This Row],[Ore]],COUNTA(TblProd[[#Headers],[Lumber]]:TblProd[[#This Row],[Lumber]]),MATCH(Military!$AQ$2,TblProd[[#Headers],[Lumber]:[Ore]],0))</calculatedColumnFormula>
    </tableColumn>
    <tableColumn id="42" xr3:uid="{AD4D72D1-3860-48CA-B3DA-ADFB8307154A}" name="Plat Cost" dataDxfId="403">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402">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401">
      <calculatedColumnFormula>TblMili[[#This Row],[Hour]]</calculatedColumnFormula>
    </tableColumn>
    <tableColumn id="45" xr3:uid="{20B1F70F-03BF-43F5-9126-6B2FF45FE149}" name="Time " dataDxfId="400">
      <calculatedColumnFormula>TblMili[[#This Row],[Time]]</calculatedColumnFormula>
    </tableColumn>
    <tableColumn id="46" xr3:uid="{32831987-A30D-4329-BB1C-DB47E6B77B54}" name="Draftees22" dataDxfId="399">
      <calculatedColumnFormula>TblMili[[#This Row],[Draftees]]</calculatedColumnFormula>
    </tableColumn>
    <tableColumn id="47" xr3:uid="{7EBE7BE4-37D1-4B52-B049-F9BE4ABBBADC}" name="Release Draft" dataDxfId="398"/>
    <tableColumn id="48" xr3:uid="{C3BB0EE7-6180-4099-B663-EFA3F1503DB3}" name="Release Unit 1" dataDxfId="397"/>
    <tableColumn id="49" xr3:uid="{EDF7E463-807D-4CE2-B63E-18766260768C}" name="Release Unit 2" dataDxfId="396"/>
    <tableColumn id="50" xr3:uid="{A1BE9DD8-455A-4FAA-8154-5BB2D1A53261}" name="Release Unit 3" dataDxfId="395"/>
    <tableColumn id="51" xr3:uid="{4FE1D56E-EA47-4DF6-B5A4-E78C1D5F5774}" name="Release Unit 4" dataDxfId="394"/>
    <tableColumn id="52" xr3:uid="{F0F9CB78-BA40-4031-AC17-0AB88B159B60}" name="Release Spies" dataDxfId="393"/>
    <tableColumn id="108" xr3:uid="{118BE0C9-E863-4E5F-98D5-187B99319B85}" name="Release AS" dataDxfId="392"/>
    <tableColumn id="53" xr3:uid="{3CC7AC8A-814F-42C4-B491-A6DFD7A4A93E}" name="Release Wizards" dataDxfId="391"/>
    <tableColumn id="54" xr3:uid="{BCB616C3-3465-4473-B27B-B25584160E71}" name="Release AM" dataDxfId="390"/>
    <tableColumn id="55" xr3:uid="{6B6EC03F-2A6A-47EB-A7F1-0DFE335A330A}" name="Column31" dataDxfId="389"/>
    <tableColumn id="56" xr3:uid="{71F6F49D-CD22-4E5F-BBB5-61150307312C}" name="WG's" dataDxfId="388">
      <calculatedColumnFormula>TblConstr[[#This Row],[Tot WG]]/TblConstr[[#This Row],[Land]]</calculatedColumnFormula>
    </tableColumn>
    <tableColumn id="57" xr3:uid="{B8AC3F70-AED4-4E5E-9FFD-FF94CB39B791}" name="FH's" dataDxfId="387">
      <calculatedColumnFormula>TblConstr[[#This Row],[Tot Hav]]/TblConstr[[#This Row],[Land]]</calculatedColumnFormula>
    </tableColumn>
    <tableColumn id="58" xr3:uid="{140FE3B0-18E6-43AA-A625-E817354E2D53}" name="OP Plat" dataDxfId="38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8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8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8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8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8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8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7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78">
      <calculatedColumnFormula>ROUNDUP((1-MIN(ROUND(fh_spy_cost_red*TblMili[[#This Row],[FH''s]],4),fh_spy_cost_cap)+ tech_1_9*TblTech[[#This Row],[1-9]] + tech_9_1*TblTech[[#This Row],[9-1]])*spy_plat,0)</calculatedColumnFormula>
    </tableColumn>
    <tableColumn id="110" xr3:uid="{E3910BF3-0412-473B-852A-F6A0FE497DE5}" name="ASs Cost" dataDxfId="377">
      <calculatedColumnFormula>ROUNDUP((1-MIN(ROUND(fh_spy_cost_red*TblMili[[#This Row],[FH''s]],4),fh_spy_cost_cap)+ tech_1_9*TblTech[[#This Row],[1-9]] + tech_9_1*TblTech[[#This Row],[9-1]])*archspy_plat,0)</calculatedColumnFormula>
    </tableColumn>
    <tableColumn id="67" xr3:uid="{CDB40042-773A-4CE1-B670-B62BC884A947}" name="Wizzies cost" dataDxfId="376">
      <calculatedColumnFormula>ROUNDUP((1-MIN(ROUND(wg_wiz_cost_bonus*TblMili[[#This Row],[WG''s]],4),wg_wiz_cost_cap) + tech_1_9_2*TblTech[[#This Row],[1-9]] + tech_9_1_2*TblTech[[#This Row],[9-1]])*wizard_plat,0)</calculatedColumnFormula>
    </tableColumn>
    <tableColumn id="68" xr3:uid="{1053234A-AE18-4A82-94FC-D94692087DE3}" name="AMs cost" dataDxfId="375">
      <calculatedColumnFormula>ROUNDUP((1-MIN(ROUND(wg_wiz_cost_bonus*TblMili[[#This Row],[WG''s]],4),wg_wiz_cost_cap) + tech_1_9_2*TblTech[[#This Row],[1-9]] + tech_9_1_2*TblTech[[#This Row],[9-1]])*archmage_plat,0)</calculatedColumnFormula>
    </tableColumn>
    <tableColumn id="69" xr3:uid="{9D11DA92-CF6B-4838-B51B-494833977486}" name="…2" dataDxfId="374"/>
    <tableColumn id="70" xr3:uid="{1F713D65-CE26-4E75-AF9C-1E2610D02FB6}" name="Hill" dataDxfId="373">
      <calculatedColumnFormula>TblConstr[[#This Row],[Homeland]]/TblConstr[[#This Row],[Land]]</calculatedColumnFormula>
    </tableColumn>
    <tableColumn id="71" xr3:uid="{FBD620E0-8F97-4BED-916D-A8962B459E13}" name="WG" dataDxfId="372">
      <calculatedColumnFormula>TblMili[[#This Row],[WG''s]]</calculatedColumnFormula>
    </tableColumn>
    <tableColumn id="72" xr3:uid="{0F482B90-6164-42A0-AC1A-EB6CBE2239E0}" name="Mystic" dataDxfId="371">
      <calculatedColumnFormula>IF(mystic_cap="none",TblMili[[#This Row],[Hill]]/mystic_bonus,MIN(mystic_cap,TblMili[[#This Row],[Hill]]/mystic_bonus))</calculatedColumnFormula>
    </tableColumn>
    <tableColumn id="73" xr3:uid="{2FD25056-5068-463F-8553-3D2CFBDBD80D}" name="Druid (op)" dataDxfId="370">
      <calculatedColumnFormula>IF(druid_op_cap="none",TblMili[[#This Row],[Hill]]/druid_op_bonus,MIN(druid_op_cap,TblMili[[#This Row],[Hill]]/druid_op_bonus))</calculatedColumnFormula>
    </tableColumn>
    <tableColumn id="74" xr3:uid="{53018DF3-E735-41C7-A3D0-8E634866C57E}" name="Druid (dp)" dataDxfId="369">
      <calculatedColumnFormula>IF(druid_dp_cap="none",TblMili[[#This Row],[Hill]]/druid_dp_bonus,MIN(druid_dp_cap,TblMili[[#This Row],[Hill]]/druid_dp_bonus))</calculatedColumnFormula>
    </tableColumn>
    <tableColumn id="75" xr3:uid="{7F4EE74D-9905-4DF0-A5F6-DDC9D0115356}" name="Dryad" dataDxfId="368">
      <calculatedColumnFormula>MIN(dryad_cap,TblMili[[#This Row],[Hill]]/dryad_bonus)</calculatedColumnFormula>
    </tableColumn>
    <tableColumn id="76" xr3:uid="{E7F9826C-05CD-49D4-95DF-ECCD467D1341}" name="Rockapult" dataDxfId="367">
      <calculatedColumnFormula>MIN(rocka_cap,TblMili[[#This Row],[Hill]]/rocka_bonus)</calculatedColumnFormula>
    </tableColumn>
    <tableColumn id="77" xr3:uid="{A26FFF73-DC56-4E66-8A0E-51A9C837AE8D}" name="Spellblade" dataDxfId="366">
      <calculatedColumnFormula>MIN(adept_op_cap,TblMili[[#This Row],[WG]]/adept_op_bonus)</calculatedColumnFormula>
    </tableColumn>
    <tableColumn id="78" xr3:uid="{A5F9372F-5EBA-4E5A-AB3F-5A786DE5FEB0}" name="Adept-DP" dataDxfId="365">
      <calculatedColumnFormula>MIN(adept_dp_cap,TblMili[[#This Row],[WG]]/adept_dp_bonus)</calculatedColumnFormula>
    </tableColumn>
    <tableColumn id="79" xr3:uid="{FF50DABE-A375-4222-848D-9C4D1D0FC999}" name="Beasts" dataDxfId="364">
      <calculatedColumnFormula>MIN(TblMili[[#This Row],[Unit 3]],TblMili[[#This Row],[Unit 2]])*2</calculatedColumnFormula>
    </tableColumn>
    <tableColumn id="80" xr3:uid="{FFCDA044-2FD9-4119-B82B-7914D887B7F4}" name="Overlords" dataDxfId="363">
      <calculatedColumnFormula>MIN(TblMili[[#This Row],[Unit 1]],TblMili[[#This Row],[Unit 4]])*2</calculatedColumnFormula>
    </tableColumn>
    <tableColumn id="81" xr3:uid="{00DE2C4D-2323-42A0-B749-2FB5F4E28DBF}" name="Frost Mage" dataDxfId="362">
      <calculatedColumnFormula>MIN(frost_mage_cap,TblMili[[#This Row],[Hill]]/frost_mage_bonus)</calculatedColumnFormula>
    </tableColumn>
    <tableColumn id="82" xr3:uid="{BB055F70-3593-48E8-A32F-2C3BC4E6D218}" name="Ice Elemental" dataDxfId="361">
      <calculatedColumnFormula>MIN(ice_elem_cap,TblMili[[#This Row],[Raw (2)]]*ice_elem_bonus)</calculatedColumnFormula>
    </tableColumn>
    <tableColumn id="83" xr3:uid="{1158BE59-7C9D-4D41-AE99-4249CB18E29F}" name="Orc" dataDxfId="360">
      <calculatedColumnFormula>MIN(bone_breaker_cap,250/bone_breaker_bonus)</calculatedColumnFormula>
    </tableColumn>
    <tableColumn id="84" xr3:uid="{76252BAC-90E5-49A7-B5F9-E399F71EA45D}" name="Nox" dataDxfId="359">
      <calculatedColumnFormula>MIN(nox_nightshade_cap,TblConstr[[#This Row],[Homeland]]/TblConstr[[#This Row],[Land]]/nox_nightshade_swamp_bonus)</calculatedColumnFormula>
    </tableColumn>
    <tableColumn id="85" xr3:uid="{1DFCAA2E-8651-447E-895D-82655A45DF53}" name="Column36" dataDxfId="358"/>
    <tableColumn id="86" xr3:uid="{2B117F31-500F-4EF5-A943-EA4E7192FD0F}" name="Column37" dataDxfId="357"/>
    <tableColumn id="87" xr3:uid="{F3D20B86-D78F-4794-87F9-C555822D3041}" name="Column38" dataDxfId="356"/>
    <tableColumn id="88" xr3:uid="{BDEF093C-2660-4215-8999-F98F4344DFB8}" name="Mystic bonus" dataDxfId="355">
      <calculatedColumnFormula>MIN(6,TblMili[[#This Row],[Mystic]]+Races!$F$19)*1.8 +  IF(TblMili[[#This Row],[Mystic]]+Races!$F$19&gt;6,(TblMili[[#This Row],[Mystic]]+Races!$F$19-6)*0.2,0) - Races!$I$19</calculatedColumnFormula>
    </tableColumn>
    <tableColumn id="89" xr3:uid="{46F4DC63-3122-4751-919D-25DE59A7EF66}" name="Druid bonus" dataDxfId="354">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53">
      <calculatedColumnFormula>TblMili[[#This Row],[Mystic bonus]]*TblMili[[#This Row],[Unit 3]]+TblMili[[#This Row],[Druid bonus]]*TblMili[[#This Row],[Unit 4]]</calculatedColumnFormula>
    </tableColumn>
    <tableColumn id="91" xr3:uid="{4EE98187-D861-41F7-99BA-17048C4D8D34}" name="Dryad bonus" dataDxfId="352">
      <calculatedColumnFormula>MIN(6,TblMili[[#This Row],[Dryad]]+Races!$F$35)*1.8 +  IF(TblMili[[#This Row],[Dryad]]+Races!$F$35&gt;6,(TblMili[[#This Row],[Dryad]]+Races!$F$35-6)*0.2,0) - Races!$I$19</calculatedColumnFormula>
    </tableColumn>
    <tableColumn id="92" xr3:uid="{4D0FBA77-63EB-4AF7-AA3C-BF4D432786D2}" name="Sylvan bonus" dataDxfId="351">
      <calculatedColumnFormula>sylvan*(TblMili[[#This Row],[Mystic bonus]]*TblMili[[#This Row],[Unit 3]])</calculatedColumnFormula>
    </tableColumn>
    <tableColumn id="93" xr3:uid="{9CB7A2CE-8BEC-402B-B1F0-5A1153673E45}" name="Rockapult bonus" dataDxfId="350">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49">
      <calculatedColumnFormula>gnome*(TblMili[[#This Row],[Rockapult bonus]]*TblMili[[#This Row],[Unit 3]])</calculatedColumnFormula>
    </tableColumn>
    <tableColumn id="95" xr3:uid="{A02C2188-BFCD-4178-8B64-B969D4D2D97B}" name="Adept bonus" dataDxfId="348">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347">
      <calculatedColumnFormula>dark_elf*(TblMili[[#This Row],[Adept bonus]]*TblMili[[#This Row],[Unit 3]])</calculatedColumnFormula>
    </tableColumn>
    <tableColumn id="97" xr3:uid="{19730E51-BC55-444F-8E03-4B3A51C0E3D8}" name="Frost Mage bonus" dataDxfId="346">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45">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44">
      <calculatedColumnFormula>TblMili[[#This Row],[Frost Mage bonus]]*TblMili[[#This Row],[Unit 3]]+TblMili[[#This Row],[Ice Elemental bonus]]*TblMili[[#This Row],[Unit 4]]</calculatedColumnFormula>
    </tableColumn>
    <tableColumn id="100" xr3:uid="{A2072E36-3982-4B78-93F1-3B2C7DD41EB6}" name="Column46" dataDxfId="343"/>
    <tableColumn id="101" xr3:uid="{AA2C19ED-CD7C-4497-8949-4735D8380A50}" name="Favorable Terrain Bonus" dataDxfId="342" dataCellStyle="Percent">
      <calculatedColumnFormula>MIN(SUM(TblConstr[[#This Row],[Plain]:[Water]])/TblMili[[#This Row],[Land]]/favorable_terrain_bonus/100,favorable_terrain_max)</calculatedColumnFormula>
    </tableColumn>
    <tableColumn id="102" xr3:uid="{045A1C5D-FFD7-4F37-8C55-3E1C6325D69C}" name="Column48" dataDxfId="341"/>
    <tableColumn id="103" xr3:uid="{CA1D4487-36A8-42BE-AAE8-1C025B923059}" name="Networth (2)" dataDxfId="340">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339"/>
    <tableColumn id="105" xr3:uid="{628D592A-8396-4FB0-BFC1-BC7CA81586EE}" name="Raw (2)" dataDxfId="338">
      <calculatedColumnFormula>(TblMili[[#This Row],[Wizards]]+2*TblMili[[#This Row],[Archmages]])/TblConstr[[#This Row],[Land]]</calculatedColumnFormula>
    </tableColumn>
    <tableColumn id="106" xr3:uid="{016BFDB0-CD57-41C0-AF17-CB540C2E962C}" name="Modded (2)" dataDxfId="337">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336" dataDxfId="334" headerRowBorderDxfId="335" tableBorderDxfId="333">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332">
      <calculatedColumnFormula>TblRezone[[#This Row],[Hour]]</calculatedColumnFormula>
    </tableColumn>
    <tableColumn id="2" xr3:uid="{E160E2FF-C983-4A55-B03E-684BAA5D56D7}" name="Land" dataDxfId="331">
      <calculatedColumnFormula>TblConstr[[#This Row],[Land]]</calculatedColumnFormula>
    </tableColumn>
    <tableColumn id="3" xr3:uid="{CEA3931F-9B77-4317-A7C7-C5D0214A12BA}" name="Mana" dataDxfId="330">
      <calculatedColumnFormula>TblProd[[#This Row],[Mana]]</calculatedColumnFormula>
    </tableColumn>
    <tableColumn id="4" xr3:uid="{D383CA2D-65F3-4634-A1DD-E4ECA1CC96C8}" name="Wiz str" dataDxfId="329">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28">
      <calculatedColumnFormula>OFFSET(TblMagic[[#This Row],[Time]],-1,0)+1/24</calculatedColumnFormula>
    </tableColumn>
    <tableColumn id="6" xr3:uid="{6625E0CA-37E1-457D-817F-784FA6A7A47B}" name="Pop" dataDxfId="327">
      <calculatedColumnFormula>TblImps[[#This Row],[Population]]</calculatedColumnFormula>
    </tableColumn>
    <tableColumn id="7" xr3:uid="{74B4A440-273D-4100-B1BC-91171D1D20B6}" name="Gaia's Watch" dataDxfId="326"/>
    <tableColumn id="8" xr3:uid="{43E4A01F-74F7-4C30-9D8A-3079A04763B9}" name="Mining Strength" dataDxfId="325"/>
    <tableColumn id="9" xr3:uid="{1A92950C-8F89-409E-9002-FCC57F75ADE0}" name="Ares Call" dataDxfId="324"/>
    <tableColumn id="10" xr3:uid="{A04C0737-02D0-4DAA-B9D7-324E3D59498C}" name="Midas Touch" dataDxfId="323"/>
    <tableColumn id="11" xr3:uid="{028D46F5-0AAD-49F8-AC48-D5E2C41FD4C2}" name="Harmony" dataDxfId="322"/>
    <tableColumn id="12" xr3:uid="{42548E68-C2D5-44CD-99FA-6AD40E64E185}" name="Miner's Sight" dataDxfId="321"/>
    <tableColumn id="13" xr3:uid="{D64F8C18-3DBE-4D7A-8AA3-C35E04DD6CAC}" name="Mechanical Genius" dataDxfId="320"/>
    <tableColumn id="14" xr3:uid="{0165862E-59ED-45FB-BD5A-0C7DCAA39217}" name="Frenzy" dataDxfId="319"/>
    <tableColumn id="15" xr3:uid="{762B30AD-670D-48C3-94F1-2BA1DC4089CC}" name="Killing Rage / Bloodrage / Crusade" dataDxfId="318"/>
    <tableColumn id="16" xr3:uid="{0162EA56-857C-4157-A7AB-4D90C9EA47F1}" name="Gaia's Blessing" dataDxfId="317"/>
    <tableColumn id="17" xr3:uid="{6D83302D-974B-4742-8BDA-D99BB673F6D7}" name="Howling" dataDxfId="316"/>
    <tableColumn id="18" xr3:uid="{081EE08A-AA95-4648-9376-F68D04887352}" name="Alchemist Frost" dataDxfId="315"/>
    <tableColumn id="19" xr3:uid="{3BCC0361-67FB-4576-8296-8E91F374A4A4}" name="Alchemists Flame" dataDxfId="314"/>
    <tableColumn id="20" xr3:uid="{CFB1AFFE-0570-4E81-B96B-5EE870CC5038}" name="Nightfall" dataDxfId="313"/>
    <tableColumn id="40" xr3:uid="{CD69E8F6-3FD6-49C0-9EB8-DB9FD0CAA6D9}" name="Favorable Terrain" dataDxfId="312"/>
    <tableColumn id="21" xr3:uid="{4F53D2F5-E2E8-4AEE-975D-5B925FA589B0}" name="Useless spell" dataDxfId="311"/>
    <tableColumn id="22" xr3:uid="{E7040239-1040-4E8C-8EEB-3D517AC825BD}" name="." dataDxfId="310"/>
    <tableColumn id="23" xr3:uid="{8F45EE21-92D1-4622-B103-16B477DF630B}" name="Mana cost" dataDxfId="309">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308">
      <calculatedColumnFormula>SUMIF(TblMagic[[#This Row],[Gaia''s Watch]:[Useless spell]],1)*0.05</calculatedColumnFormula>
    </tableColumn>
    <tableColumn id="25" xr3:uid="{2466DF86-89FE-4172-9850-F9FBAE56839D}" name=".." dataDxfId="307"/>
    <tableColumn id="26" xr3:uid="{F8559349-C288-4EC3-B38A-23771E549D1D}" name="Active Gaia's Watch" dataDxfId="306">
      <calculatedColumnFormula>IF(TblMagic[[#This Row],[Gaia''s Watch]],12,IF(OFFSET(TblMagic[[#This Row],[Active Gaia''s Watch]],-1,0)&gt;0,OFFSET(TblMagic[[#This Row],[Active Gaia''s Watch]],-1,0)-1,0))</calculatedColumnFormula>
    </tableColumn>
    <tableColumn id="27" xr3:uid="{00F45689-4686-422F-8E94-89C18992B261}" name="Active Mining Strength" dataDxfId="305">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304">
      <calculatedColumnFormula>IF(TblMagic[[#This Row],[Ares Call]],12,IF(OFFSET(TblMagic[[#This Row],[Active Ares Call]],-1,0)&gt;0,OFFSET(TblMagic[[#This Row],[Active Ares Call]],-1,0)-1,0))</calculatedColumnFormula>
    </tableColumn>
    <tableColumn id="29" xr3:uid="{BCC9ACB6-69AC-4DA1-B07D-F4802162CEF5}" name="Active Midas Touch" dataDxfId="303">
      <calculatedColumnFormula>IF(TblMagic[[#This Row],[Midas Touch]],12,IF(OFFSET(TblMagic[[#This Row],[Active Midas Touch]],-1,0)&gt;0,OFFSET(TblMagic[[#This Row],[Active Midas Touch]],-1,0)-1,0))</calculatedColumnFormula>
    </tableColumn>
    <tableColumn id="30" xr3:uid="{D13DA239-CC1B-41FD-A41B-68906B10F262}" name="Active Harmony" dataDxfId="302">
      <calculatedColumnFormula>IF(TblMagic[[#This Row],[Harmony]],12,IF(OFFSET(TblMagic[[#This Row],[Active Harmony]],-1,0)&gt;0,OFFSET(TblMagic[[#This Row],[Active Harmony]],-1,0)-1,0))</calculatedColumnFormula>
    </tableColumn>
    <tableColumn id="31" xr3:uid="{10D4FEA0-0AA8-4F31-8F5A-8576AE611BDA}" name="Active Miner's Sight" dataDxfId="301">
      <calculatedColumnFormula>IF(TblMagic[[#This Row],[Miner''s Sight]],12,IF(OFFSET(TblMagic[[#This Row],[Active Miner''s Sight]],-1,0)&gt;0,OFFSET(TblMagic[[#This Row],[Active Miner''s Sight]],-1,0)-1,0))</calculatedColumnFormula>
    </tableColumn>
    <tableColumn id="32" xr3:uid="{F3C242E1-6D76-4F30-9114-9CFB19B40B68}" name="Active Mechanical Genius" dataDxfId="300">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99">
      <calculatedColumnFormula>IF(TblMagic[[#This Row],[Frenzy]],12,IF(OFFSET(TblMagic[[#This Row],[Active Frenzy]],-1,0)&gt;0,OFFSET(TblMagic[[#This Row],[Active Frenzy]],-1,0)-1,0))</calculatedColumnFormula>
    </tableColumn>
    <tableColumn id="34" xr3:uid="{3460E27B-FD4A-47FC-A87F-BAFED0FCC033}" name="Active Warsong / Killing Rage / Bloodrage" dataDxfId="298">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97">
      <calculatedColumnFormula>IF(TblMagic[[#This Row],[Gaia''s Blessing]],12,IF(OFFSET(TblMagic[[#This Row],[Active Gaia''s Blessing]],-1,0)&gt;0,OFFSET(TblMagic[[#This Row],[Active Gaia''s Blessing]],-1,0)-1,0))</calculatedColumnFormula>
    </tableColumn>
    <tableColumn id="36" xr3:uid="{DB2BE469-2BE3-4333-BFBC-C2857399E743}" name="Active Howling" dataDxfId="296">
      <calculatedColumnFormula>IF(TblMagic[[#This Row],[Howling]],12,IF(OFFSET(TblMagic[[#This Row],[Active Howling]],-1,0)&gt;0,OFFSET(TblMagic[[#This Row],[Active Howling]],-1,0)-1,0))</calculatedColumnFormula>
    </tableColumn>
    <tableColumn id="37" xr3:uid="{F5838FA3-8068-44AA-A6A2-758F46E5F78D}" name="Active Alch Frost" dataDxfId="295">
      <calculatedColumnFormula>IF(TblMagic[[#This Row],[Alchemist Frost]],12,IF(OFFSET(TblMagic[[#This Row],[Active Alch Frost]],-1,0)&gt;0,OFFSET(TblMagic[[#This Row],[Active Alch Frost]],-1,0)-1,0))</calculatedColumnFormula>
    </tableColumn>
    <tableColumn id="38" xr3:uid="{11215FCC-A994-4C4E-835C-F365C4B7BDF8}" name="Active Alchemists Flame" dataDxfId="294">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93">
      <calculatedColumnFormula>IF(TblMagic[[#This Row],[Nightfall]],12,IF(OFFSET(TblMagic[[#This Row],[Active Nightfall]],-1,0)&gt;0,OFFSET(TblMagic[[#This Row],[Active Nightfall]],-1,0)-1,0))</calculatedColumnFormula>
    </tableColumn>
    <tableColumn id="41" xr3:uid="{E8FFEB0A-82D1-4B3D-86CE-6103CDF8A0FD}" name="Active Favorable Terrain" dataDxfId="292">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91" dataDxfId="290">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89">
      <calculatedColumnFormula>TblRezone[[#This Row],[Hour]]</calculatedColumnFormula>
    </tableColumn>
    <tableColumn id="3" xr3:uid="{DA4A1ACF-68D6-4564-BB1C-C3C3172606A1}" name="Land" dataDxfId="288">
      <calculatedColumnFormula>TblExplore[[#This Row],[Land-DB]]</calculatedColumnFormula>
    </tableColumn>
    <tableColumn id="4" xr3:uid="{05D0DCAF-595D-47DB-9D6C-DB4A543CF655}" name="Techpoints" dataDxfId="287">
      <calculatedColumnFormula>TblProd[[#This Row],[Techpoints]]</calculatedColumnFormula>
    </tableColumn>
    <tableColumn id="5" xr3:uid="{B8D24105-AE76-4A7C-9D26-589CB9891ED4}" name="Cost" dataDxfId="286">
      <calculatedColumnFormula>TblProd[[#This Row],[Required]]</calculatedColumnFormula>
    </tableColumn>
    <tableColumn id="93" xr3:uid="{2ABEB4AB-3FE9-4283-8DD1-DADEE729E1F4}" name="." dataDxfId="285"/>
    <tableColumn id="9" xr3:uid="{94ADF196-65A4-42D5-B9F1-902A2448736A}" name="Activate @ hour" dataDxfId="284"/>
    <tableColumn id="10" xr3:uid="{41EC03BC-D935-4DB1-9358-D7E68CB11DA3}" name="Number" dataDxfId="283"/>
    <tableColumn id="19" xr3:uid="{8781F361-D9CA-4DDC-83D1-8F9FCDC61FD4}" name="Tech name" dataDxfId="282"/>
    <tableColumn id="11" xr3:uid="{ED497BC4-A3FE-4968-980C-41E3E397E8F1}" name="Gains" dataDxfId="281"/>
    <tableColumn id="20" xr3:uid="{B66F94F3-B0AC-4CC0-9E7C-4CF7E4C92EEE}" name=".." dataDxfId="280"/>
    <tableColumn id="21" xr3:uid="{4775993E-7C72-4134-8A78-3FB7DCE45728}" name="…" dataDxfId="279">
      <calculatedColumnFormula>IF(TblTech[[#This Row],[Sum of tech]]&lt;&gt;OFFSET(TblTech[[#This Row],[Sum of tech]],-1,0),1,0)</calculatedColumnFormula>
    </tableColumn>
    <tableColumn id="22" xr3:uid="{DFF59F63-FD6B-45DE-9EEF-3899A7D747EF}" name="Sum of tech" dataDxfId="278">
      <calculatedColumnFormula>COUNTIF(TblTech[[#This Row],[1-1]:[11-1]],1)</calculatedColumnFormula>
    </tableColumn>
    <tableColumn id="23" xr3:uid="{26B2ED42-21EF-41D3-8431-65B8DCB84C2C}" name="1-1" dataDxfId="277">
      <calculatedColumnFormula array="1">IF(AND(M$2&lt;&gt;0,TblTech[[#This Row],[Hour]:[Hour]]&gt;=M$2),1,0)</calculatedColumnFormula>
    </tableColumn>
    <tableColumn id="24" xr3:uid="{50258140-FB02-4B3A-8985-9EF35792D437}" name="1-2" dataDxfId="276">
      <calculatedColumnFormula array="1">IF(AND(N$2&lt;&gt;0,TblTech[[#This Row],[Hour]:[Hour]]&gt;=N$2),1,0)</calculatedColumnFormula>
    </tableColumn>
    <tableColumn id="25" xr3:uid="{7124BFDC-5B72-4806-BD66-A9B40B96E890}" name="1-3" dataDxfId="275">
      <calculatedColumnFormula array="1">IF(AND(O$2&lt;&gt;0,TblTech[[#This Row],[Hour]:[Hour]]&gt;=O$2),1,0)</calculatedColumnFormula>
    </tableColumn>
    <tableColumn id="26" xr3:uid="{7F0A139B-B30E-4409-9274-8016025EA227}" name="1-4" dataDxfId="274">
      <calculatedColumnFormula array="1">IF(AND(P$2&lt;&gt;0,TblTech[[#This Row],[Hour]:[Hour]]&gt;=P$2),1,0)</calculatedColumnFormula>
    </tableColumn>
    <tableColumn id="27" xr3:uid="{29B9EAE2-227D-4807-9E41-445565CAAFF7}" name="1-5" dataDxfId="273">
      <calculatedColumnFormula array="1">IF(AND(Q$2&lt;&gt;0,TblTech[[#This Row],[Hour]:[Hour]]&gt;=Q$2),1,0)</calculatedColumnFormula>
    </tableColumn>
    <tableColumn id="28" xr3:uid="{43587F1E-C217-44F9-817A-0114F7F48D02}" name="1-6" dataDxfId="272">
      <calculatedColumnFormula array="1">IF(AND(R$2&lt;&gt;0,TblTech[[#This Row],[Hour]:[Hour]]&gt;=R$2),1,0)</calculatedColumnFormula>
    </tableColumn>
    <tableColumn id="29" xr3:uid="{0524F9E6-09EC-4986-B7A6-35B925952E60}" name="1-7" dataDxfId="271">
      <calculatedColumnFormula array="1">IF(AND(S$2&lt;&gt;0,TblTech[[#This Row],[Hour]:[Hour]]&gt;=S$2),1,0)</calculatedColumnFormula>
    </tableColumn>
    <tableColumn id="30" xr3:uid="{188B6808-99A1-4A91-A689-87097F62C1C1}" name="1-8" dataDxfId="270">
      <calculatedColumnFormula array="1">IF(AND(T$2&lt;&gt;0,TblTech[[#This Row],[Hour]:[Hour]]&gt;=T$2),1,0)</calculatedColumnFormula>
    </tableColumn>
    <tableColumn id="31" xr3:uid="{DC02C18F-47C9-4A23-8F34-9E02A677D29B}" name="1-9" dataDxfId="269">
      <calculatedColumnFormula array="1">IF(AND(U$2&lt;&gt;0,TblTech[[#This Row],[Hour]:[Hour]]&gt;=U$2),1,0)</calculatedColumnFormula>
    </tableColumn>
    <tableColumn id="32" xr3:uid="{21B6A564-7028-4932-914B-F32A59CAEC67}" name="1-10" dataDxfId="268">
      <calculatedColumnFormula array="1">IF(AND(V$2&lt;&gt;0,TblTech[[#This Row],[Hour]:[Hour]]&gt;=V$2),1,0)</calculatedColumnFormula>
    </tableColumn>
    <tableColumn id="33" xr3:uid="{BE08B152-511E-4680-AD58-AFCC2777EE65}" name="1-11" dataDxfId="267">
      <calculatedColumnFormula array="1">IF(AND(W$2&lt;&gt;0,TblTech[[#This Row],[Hour]:[Hour]]&gt;=W$2),1,0)</calculatedColumnFormula>
    </tableColumn>
    <tableColumn id="34" xr3:uid="{F0B67B28-DF8B-4FF4-BE8F-BD953642450D}" name="2-1" dataDxfId="266">
      <calculatedColumnFormula array="1">IF(AND(X$2&lt;&gt;0,TblTech[[#This Row],[Hour]:[Hour]]&gt;=X$2),1,0)</calculatedColumnFormula>
    </tableColumn>
    <tableColumn id="35" xr3:uid="{E1C38FB5-1814-43BE-8628-9E331159B491}" name="2-2" dataDxfId="265">
      <calculatedColumnFormula array="1">IF(AND(Y$2&lt;&gt;0,TblTech[[#This Row],[Hour]:[Hour]]&gt;=Y$2),1,0)</calculatedColumnFormula>
    </tableColumn>
    <tableColumn id="36" xr3:uid="{8EEFA1A3-F668-44A9-99D5-F625CDEC0846}" name="2-3" dataDxfId="264">
      <calculatedColumnFormula array="1">IF(AND(Z$2&lt;&gt;0,TblTech[[#This Row],[Hour]:[Hour]]&gt;=Z$2),1,0)</calculatedColumnFormula>
    </tableColumn>
    <tableColumn id="37" xr3:uid="{8B9C353C-5141-4E70-88A8-3C0ADC0F65A2}" name="2-4" dataDxfId="263">
      <calculatedColumnFormula array="1">IF(AND(AA$2&lt;&gt;0,TblTech[[#This Row],[Hour]:[Hour]]&gt;=AA$2),1,0)</calculatedColumnFormula>
    </tableColumn>
    <tableColumn id="38" xr3:uid="{4F9949FA-D32C-43B0-A632-BDA246027740}" name="2-5" dataDxfId="262">
      <calculatedColumnFormula array="1">IF(AND(AB$2&lt;&gt;0,TblTech[[#This Row],[Hour]:[Hour]]&gt;=AB$2),1,0)</calculatedColumnFormula>
    </tableColumn>
    <tableColumn id="39" xr3:uid="{E35ABE45-7462-4288-879B-43C24510B588}" name="2-6" dataDxfId="261">
      <calculatedColumnFormula array="1">IF(AND(AC$2&lt;&gt;0,TblTech[[#This Row],[Hour]:[Hour]]&gt;=AC$2),1,0)</calculatedColumnFormula>
    </tableColumn>
    <tableColumn id="40" xr3:uid="{B02ACA29-3024-4B8E-B2F0-E65F48E762BF}" name="2-7" dataDxfId="260">
      <calculatedColumnFormula array="1">IF(AND(AD$2&lt;&gt;0,TblTech[[#This Row],[Hour]:[Hour]]&gt;=AD$2),1,0)</calculatedColumnFormula>
    </tableColumn>
    <tableColumn id="41" xr3:uid="{34022863-F0D7-473E-B433-052438597C70}" name="2-8" dataDxfId="259">
      <calculatedColumnFormula array="1">IF(AND(AE$2&lt;&gt;0,TblTech[[#This Row],[Hour]:[Hour]]&gt;=AE$2),1,0)</calculatedColumnFormula>
    </tableColumn>
    <tableColumn id="42" xr3:uid="{4264B147-345F-4187-898B-976D4720C3B2}" name="2-9" dataDxfId="258">
      <calculatedColumnFormula array="1">IF(AND(AF$2&lt;&gt;0,TblTech[[#This Row],[Hour]:[Hour]]&gt;=AF$2),1,0)</calculatedColumnFormula>
    </tableColumn>
    <tableColumn id="43" xr3:uid="{040A812F-9A82-4FA5-96D4-BB0CE9B1567D}" name="2-10" dataDxfId="257">
      <calculatedColumnFormula array="1">IF(AND(AG$2&lt;&gt;0,TblTech[[#This Row],[Hour]:[Hour]]&gt;=AG$2),1,0)</calculatedColumnFormula>
    </tableColumn>
    <tableColumn id="44" xr3:uid="{65E9F477-8A73-4C7D-9453-E8F8A13C4220}" name="3-1" dataDxfId="256">
      <calculatedColumnFormula array="1">IF(AND(AH$2&lt;&gt;0,TblTech[[#This Row],[Hour]:[Hour]]&gt;=AH$2),1,0)</calculatedColumnFormula>
    </tableColumn>
    <tableColumn id="45" xr3:uid="{86A8FA88-B983-4431-9D5A-9A068F2DE89C}" name="3-2" dataDxfId="255">
      <calculatedColumnFormula array="1">IF(AND(AI$2&lt;&gt;0,TblTech[[#This Row],[Hour]:[Hour]]&gt;=AI$2),1,0)</calculatedColumnFormula>
    </tableColumn>
    <tableColumn id="46" xr3:uid="{B4D6E3D7-41BB-4A05-98AF-36C706567C66}" name="3-3" dataDxfId="254">
      <calculatedColumnFormula array="1">IF(AND(AJ$2&lt;&gt;0,TblTech[[#This Row],[Hour]:[Hour]]&gt;=AJ$2),1,0)</calculatedColumnFormula>
    </tableColumn>
    <tableColumn id="47" xr3:uid="{A65655BF-F389-46E7-B712-282C9B16E721}" name="3-4" dataDxfId="253">
      <calculatedColumnFormula array="1">IF(AND(AK$2&lt;&gt;0,TblTech[[#This Row],[Hour]:[Hour]]&gt;=AK$2),1,0)</calculatedColumnFormula>
    </tableColumn>
    <tableColumn id="48" xr3:uid="{6AC53AFF-C5BC-4C6E-A226-AD750DEF26F0}" name="3-5" dataDxfId="252">
      <calculatedColumnFormula array="1">IF(AND(AL$2&lt;&gt;0,TblTech[[#This Row],[Hour]:[Hour]]&gt;=AL$2),1,0)</calculatedColumnFormula>
    </tableColumn>
    <tableColumn id="49" xr3:uid="{517C8F30-6F70-4A9F-930D-87F70A281D06}" name="3-6" dataDxfId="251">
      <calculatedColumnFormula array="1">IF(AND(AM$2&lt;&gt;0,TblTech[[#This Row],[Hour]:[Hour]]&gt;=AM$2),1,0)</calculatedColumnFormula>
    </tableColumn>
    <tableColumn id="50" xr3:uid="{3B9D0CD9-1DC1-4BF8-84D6-0C15DCE53BA3}" name="3-7" dataDxfId="250">
      <calculatedColumnFormula array="1">IF(AND(AN$2&lt;&gt;0,TblTech[[#This Row],[Hour]:[Hour]]&gt;=AN$2),1,0)</calculatedColumnFormula>
    </tableColumn>
    <tableColumn id="51" xr3:uid="{BF773A1C-6C94-4253-89D5-6B882BDABD54}" name="3-8" dataDxfId="249">
      <calculatedColumnFormula array="1">IF(AND(AO$2&lt;&gt;0,TblTech[[#This Row],[Hour]:[Hour]]&gt;=AO$2),1,0)</calculatedColumnFormula>
    </tableColumn>
    <tableColumn id="52" xr3:uid="{D719799C-D81A-4575-B1F1-9835FB72D924}" name="3-9" dataDxfId="248">
      <calculatedColumnFormula array="1">IF(AND(AP$2&lt;&gt;0,TblTech[[#This Row],[Hour]:[Hour]]&gt;=AP$2),1,0)</calculatedColumnFormula>
    </tableColumn>
    <tableColumn id="53" xr3:uid="{81CD67AD-C2F6-496B-991C-75EACF4860E0}" name="4-1" dataDxfId="247">
      <calculatedColumnFormula array="1">IF(AND(AQ$2&lt;&gt;0,TblTech[[#This Row],[Hour]:[Hour]]&gt;=AQ$2),1,0)</calculatedColumnFormula>
    </tableColumn>
    <tableColumn id="54" xr3:uid="{3255B3D4-FF8E-4B91-8A83-C128D00B29D0}" name="4-2" dataDxfId="246">
      <calculatedColumnFormula array="1">IF(AND(AR$2&lt;&gt;0,TblTech[[#This Row],[Hour]:[Hour]]&gt;=AR$2),1,0)</calculatedColumnFormula>
    </tableColumn>
    <tableColumn id="55" xr3:uid="{E9B22F56-FCCE-4890-8FF4-FF6D8C0863D0}" name="4-3" dataDxfId="245">
      <calculatedColumnFormula array="1">IF(AND(AS$2&lt;&gt;0,TblTech[[#This Row],[Hour]:[Hour]]&gt;=AS$2),1,0)</calculatedColumnFormula>
    </tableColumn>
    <tableColumn id="56" xr3:uid="{1C0A6BE0-6DBC-40E6-B512-F921E4637B0B}" name="4-4" dataDxfId="244">
      <calculatedColumnFormula array="1">IF(AND(AT$2&lt;&gt;0,TblTech[[#This Row],[Hour]:[Hour]]&gt;=AT$2),1,0)</calculatedColumnFormula>
    </tableColumn>
    <tableColumn id="57" xr3:uid="{5DAC0420-BB86-481B-957A-78DB826A7E20}" name="4-5" dataDxfId="243">
      <calculatedColumnFormula array="1">IF(AND(AU$2&lt;&gt;0,TblTech[[#This Row],[Hour]:[Hour]]&gt;=AU$2),1,0)</calculatedColumnFormula>
    </tableColumn>
    <tableColumn id="58" xr3:uid="{2442830B-618D-4A03-A6E6-23EC65BAB59B}" name="4-6" dataDxfId="242">
      <calculatedColumnFormula array="1">IF(AND(AV$2&lt;&gt;0,TblTech[[#This Row],[Hour]:[Hour]]&gt;=AV$2),1,0)</calculatedColumnFormula>
    </tableColumn>
    <tableColumn id="59" xr3:uid="{8AB48F18-B215-484F-9058-BE5431D00ED5}" name="4-7" dataDxfId="241">
      <calculatedColumnFormula array="1">IF(AND(AW$2&lt;&gt;0,TblTech[[#This Row],[Hour]:[Hour]]&gt;=AW$2),1,0)</calculatedColumnFormula>
    </tableColumn>
    <tableColumn id="60" xr3:uid="{3B7FB99A-0607-4DBC-A93C-47B6B21464A5}" name="4-8" dataDxfId="240">
      <calculatedColumnFormula array="1">IF(AND(AX$2&lt;&gt;0,TblTech[[#This Row],[Hour]:[Hour]]&gt;=AX$2),1,0)</calculatedColumnFormula>
    </tableColumn>
    <tableColumn id="61" xr3:uid="{CFAAB1A4-4760-4FF3-BF0E-D276BAEF346A}" name="5-1" dataDxfId="239">
      <calculatedColumnFormula array="1">IF(AND(AY$2&lt;&gt;0,TblTech[[#This Row],[Hour]:[Hour]]&gt;=AY$2),1,0)</calculatedColumnFormula>
    </tableColumn>
    <tableColumn id="62" xr3:uid="{E5F62076-AF81-4EE1-A6D2-C4FBF4181C93}" name="5-2" dataDxfId="238">
      <calculatedColumnFormula array="1">IF(AND(AZ$2&lt;&gt;0,TblTech[[#This Row],[Hour]:[Hour]]&gt;=AZ$2),1,0)</calculatedColumnFormula>
    </tableColumn>
    <tableColumn id="63" xr3:uid="{EE3346E8-7A22-4F0A-94B7-B36570A0B72E}" name="5-3" dataDxfId="237">
      <calculatedColumnFormula array="1">IF(AND(BA$2&lt;&gt;0,TblTech[[#This Row],[Hour]:[Hour]]&gt;=BA$2),1,0)</calculatedColumnFormula>
    </tableColumn>
    <tableColumn id="64" xr3:uid="{19F3E157-570E-4E1E-BCC2-3EF92D7B8A8B}" name="5-4" dataDxfId="236">
      <calculatedColumnFormula array="1">IF(AND(BB$2&lt;&gt;0,TblTech[[#This Row],[Hour]:[Hour]]&gt;=BB$2),1,0)</calculatedColumnFormula>
    </tableColumn>
    <tableColumn id="65" xr3:uid="{A59D5D3A-678C-49C4-A3B5-D86FF0C14500}" name="5-5" dataDxfId="235">
      <calculatedColumnFormula array="1">IF(AND(BC$2&lt;&gt;0,TblTech[[#This Row],[Hour]:[Hour]]&gt;=BC$2),1,0)</calculatedColumnFormula>
    </tableColumn>
    <tableColumn id="66" xr3:uid="{3EBEC9F5-18F1-461D-AF3F-E66DA870B9ED}" name="5-6" dataDxfId="234">
      <calculatedColumnFormula array="1">IF(AND(BD$2&lt;&gt;0,TblTech[[#This Row],[Hour]:[Hour]]&gt;=BD$2),1,0)</calculatedColumnFormula>
    </tableColumn>
    <tableColumn id="67" xr3:uid="{20985549-198B-4F2A-AF78-070BD8A22298}" name="5-7" dataDxfId="233">
      <calculatedColumnFormula array="1">IF(AND(BE$2&lt;&gt;0,TblTech[[#This Row],[Hour]:[Hour]]&gt;=BE$2),1,0)</calculatedColumnFormula>
    </tableColumn>
    <tableColumn id="68" xr3:uid="{F4DDB15D-3A5D-449E-8491-EA836A4AB090}" name="6-1" dataDxfId="232">
      <calculatedColumnFormula array="1">IF(AND(BF$2&lt;&gt;0,TblTech[[#This Row],[Hour]:[Hour]]&gt;=BF$2),1,0)</calculatedColumnFormula>
    </tableColumn>
    <tableColumn id="69" xr3:uid="{CC7E2300-DCD5-46C6-AD93-8F283F035DAF}" name="6-2" dataDxfId="231">
      <calculatedColumnFormula array="1">IF(AND(BG$2&lt;&gt;0,TblTech[[#This Row],[Hour]:[Hour]]&gt;=BG$2),1,0)</calculatedColumnFormula>
    </tableColumn>
    <tableColumn id="70" xr3:uid="{0DC5B532-84DD-40E3-9A96-3B7ED120C52C}" name="6-3" dataDxfId="230">
      <calculatedColumnFormula array="1">IF(AND(BH$2&lt;&gt;0,TblTech[[#This Row],[Hour]:[Hour]]&gt;=BH$2),1,0)</calculatedColumnFormula>
    </tableColumn>
    <tableColumn id="71" xr3:uid="{DBF8F56A-2B38-47BE-86BB-D34F12B071FA}" name="6-4" dataDxfId="229">
      <calculatedColumnFormula array="1">IF(AND(BI$2&lt;&gt;0,TblTech[[#This Row],[Hour]:[Hour]]&gt;=BI$2),1,0)</calculatedColumnFormula>
    </tableColumn>
    <tableColumn id="72" xr3:uid="{8A63D20A-B735-48C5-9D04-93C0E6922380}" name="6-5" dataDxfId="228">
      <calculatedColumnFormula array="1">IF(AND(BJ$2&lt;&gt;0,TblTech[[#This Row],[Hour]:[Hour]]&gt;=BJ$2),1,0)</calculatedColumnFormula>
    </tableColumn>
    <tableColumn id="73" xr3:uid="{40ABCA6E-09C4-437C-8184-D2AA8A46BADC}" name="6-6" dataDxfId="227">
      <calculatedColumnFormula array="1">IF(AND(BK$2&lt;&gt;0,TblTech[[#This Row],[Hour]:[Hour]]&gt;=BK$2),1,0)</calculatedColumnFormula>
    </tableColumn>
    <tableColumn id="74" xr3:uid="{304D27FC-5054-456F-9FA0-3E170324E735}" name="7-1" dataDxfId="226">
      <calculatedColumnFormula array="1">IF(AND(BL$2&lt;&gt;0,TblTech[[#This Row],[Hour]:[Hour]]&gt;=BL$2),1,0)</calculatedColumnFormula>
    </tableColumn>
    <tableColumn id="75" xr3:uid="{F53A9B26-BE5F-4442-9E77-570EB38C7B2D}" name="7-2" dataDxfId="225">
      <calculatedColumnFormula array="1">IF(AND(BM$2&lt;&gt;0,TblTech[[#This Row],[Hour]:[Hour]]&gt;=BM$2),1,0)</calculatedColumnFormula>
    </tableColumn>
    <tableColumn id="76" xr3:uid="{5A1C0BCB-6C77-48A3-8B36-DA0838BEFD4F}" name="7-3" dataDxfId="224">
      <calculatedColumnFormula array="1">IF(AND(BN$2&lt;&gt;0,TblTech[[#This Row],[Hour]:[Hour]]&gt;=BN$2),1,0)</calculatedColumnFormula>
    </tableColumn>
    <tableColumn id="77" xr3:uid="{96D50B4B-A1C4-4AE1-87EE-409B3128CB4D}" name="7-4" dataDxfId="223">
      <calculatedColumnFormula array="1">IF(AND(BO$2&lt;&gt;0,TblTech[[#This Row],[Hour]:[Hour]]&gt;=BO$2),1,0)</calculatedColumnFormula>
    </tableColumn>
    <tableColumn id="78" xr3:uid="{64A36F5D-65DB-44C8-84EC-A1A1FFF2B3AB}" name="7-5" dataDxfId="222">
      <calculatedColumnFormula array="1">IF(AND(BP$2&lt;&gt;0,TblTech[[#This Row],[Hour]:[Hour]]&gt;=BP$2),1,0)</calculatedColumnFormula>
    </tableColumn>
    <tableColumn id="79" xr3:uid="{73D8C7B5-D3FC-4DB3-BB3C-6A056F59A2A0}" name="8-1" dataDxfId="221">
      <calculatedColumnFormula array="1">IF(AND(BQ$2&lt;&gt;0,TblTech[[#This Row],[Hour]:[Hour]]&gt;=BQ$2),1,0)</calculatedColumnFormula>
    </tableColumn>
    <tableColumn id="80" xr3:uid="{8C8F01C9-13ED-4ABA-B4ED-5D892B20A077}" name="8-2" dataDxfId="220">
      <calculatedColumnFormula array="1">IF(AND(BR$2&lt;&gt;0,TblTech[[#This Row],[Hour]:[Hour]]&gt;=BR$2),1,0)</calculatedColumnFormula>
    </tableColumn>
    <tableColumn id="81" xr3:uid="{954DF58F-2216-42C3-A4F3-4A1B568C8A7F}" name="8-3" dataDxfId="219">
      <calculatedColumnFormula array="1">IF(AND(BS$2&lt;&gt;0,TblTech[[#This Row],[Hour]:[Hour]]&gt;=BS$2),1,0)</calculatedColumnFormula>
    </tableColumn>
    <tableColumn id="82" xr3:uid="{941FAEC7-7D7C-4C75-9F8E-BB3469E2F29F}" name="8-4" dataDxfId="218">
      <calculatedColumnFormula array="1">IF(AND(BT$2&lt;&gt;0,TblTech[[#This Row],[Hour]:[Hour]]&gt;=BT$2),1,0)</calculatedColumnFormula>
    </tableColumn>
    <tableColumn id="83" xr3:uid="{27C9395E-8B81-4CBA-8523-A330679CAE04}" name="9-1" dataDxfId="217">
      <calculatedColumnFormula array="1">IF(AND(BU$2&lt;&gt;0,TblTech[[#This Row],[Hour]:[Hour]]&gt;=BU$2),1,0)</calculatedColumnFormula>
    </tableColumn>
    <tableColumn id="84" xr3:uid="{90667EBE-7747-4976-9947-BD9386AEC90C}" name="9-2" dataDxfId="216">
      <calculatedColumnFormula array="1">IF(AND(BV$2&lt;&gt;0,TblTech[[#This Row],[Hour]:[Hour]]&gt;=BV$2),1,0)</calculatedColumnFormula>
    </tableColumn>
    <tableColumn id="85" xr3:uid="{8AA93356-F62A-4D0B-B2F8-5CADB2567ECF}" name="9-3" dataDxfId="215">
      <calculatedColumnFormula array="1">IF(AND(BW$2&lt;&gt;0,TblTech[[#This Row],[Hour]:[Hour]]&gt;=BW$2),1,0)</calculatedColumnFormula>
    </tableColumn>
    <tableColumn id="86" xr3:uid="{C66AB8D9-7BBC-415A-8732-B5DF0FF2495D}" name="10-1" dataDxfId="214">
      <calculatedColumnFormula array="1">IF(AND(BX$2&lt;&gt;0,TblTech[[#This Row],[Hour]:[Hour]]&gt;=BX$2),1,0)</calculatedColumnFormula>
    </tableColumn>
    <tableColumn id="87" xr3:uid="{13FA2B9A-3F31-4A51-9E2B-753CC6C8AA88}" name="10-2" dataDxfId="213">
      <calculatedColumnFormula array="1">IF(AND(BY$2&lt;&gt;0,TblTech[[#This Row],[Hour]:[Hour]]&gt;=BY$2),1,0)</calculatedColumnFormula>
    </tableColumn>
    <tableColumn id="88" xr3:uid="{D4F65702-E3D7-4783-B103-20F8DD7E4532}" name="11-1" dataDxfId="212">
      <calculatedColumnFormula array="1">IF(AND(BZ$2&lt;&gt;0,TblTech[[#This Row],[Hour]:[Hour]]&gt;=BZ$2),1,0)</calculatedColumnFormula>
    </tableColumn>
    <tableColumn id="89" xr3:uid="{0428044E-0525-4B76-80C9-2D449BDFDA1D}" name="Tech" dataDxfId="211">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210" dataDxfId="208" headerRowBorderDxfId="209" tableBorderDxfId="207">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206">
      <calculatedColumnFormula>TblConstr[[#This Row],[Land]]</calculatedColumnFormula>
    </tableColumn>
    <tableColumn id="2" xr3:uid="{AF6EC8F3-9D95-46FD-B967-FAAF3638AE73}" name="." dataDxfId="205"/>
    <tableColumn id="3" xr3:uid="{FF282ACC-05AC-4142-89E7-09EE52E6FD72}" name="Platinum" dataDxfId="204">
      <calculatedColumnFormula>TblProd[[#This Row],[Platinum]]</calculatedColumnFormula>
    </tableColumn>
    <tableColumn id="4" xr3:uid="{F2178B14-2531-41FE-8DC7-F919571A183A}" name="Lumber" dataDxfId="203">
      <calculatedColumnFormula>TblProd[[#This Row],[Lumber]]</calculatedColumnFormula>
    </tableColumn>
    <tableColumn id="5" xr3:uid="{E437C993-EDEE-4BB3-942B-73180B524B81}" name="Ore" dataDxfId="202">
      <calculatedColumnFormula>TblProd[[#This Row],[Ore]]</calculatedColumnFormula>
    </tableColumn>
    <tableColumn id="6" xr3:uid="{C515063B-AE7C-4BAF-93AB-7443CE68AC54}" name="Gems" dataDxfId="201">
      <calculatedColumnFormula>TblProd[[#This Row],[Gems]]</calculatedColumnFormula>
    </tableColumn>
    <tableColumn id="7" xr3:uid="{935F3905-1AC4-42EE-8A78-476F2F815DFD}" name=".." dataDxfId="200"/>
    <tableColumn id="8" xr3:uid="{A8E01FC0-2F13-4C73-B50D-1FA1083B0FFA}" name="Drafees" dataDxfId="199">
      <calculatedColumnFormula>TblMili[[#This Row],[Draftees]]</calculatedColumnFormula>
    </tableColumn>
    <tableColumn id="9" xr3:uid="{FF70B178-883B-4FA3-B446-2BB364451655}" name="Employed" dataDxfId="198" dataCellStyle="Percent">
      <calculatedColumnFormula>TblPop[[#This Row],[Employment]]</calculatedColumnFormula>
    </tableColumn>
    <tableColumn id="10" xr3:uid="{8AB351E3-8FED-4F8D-951B-AA2D279B0091}" name="Population" dataDxfId="197" dataCellStyle="Percent">
      <calculatedColumnFormula>TblPop[[#This Row],[Total]]/TblPop[[#This Row],[Net max]]</calculatedColumnFormula>
    </tableColumn>
    <tableColumn id="11" xr3:uid="{3D13675F-4203-4882-AC02-B7629E90679D}" name="Hour" dataDxfId="196" dataCellStyle="Percent">
      <calculatedColumnFormula>TblRezone[[#This Row],[Hour]]</calculatedColumnFormula>
    </tableColumn>
    <tableColumn id="12" xr3:uid="{50E3FF0B-DB5B-4715-971A-2D8F804DD3F4}" name="Time" dataDxfId="195" dataCellStyle="Percent">
      <calculatedColumnFormula>TblImps[[#This Row],[Real time]]</calculatedColumnFormula>
    </tableColumn>
    <tableColumn id="13" xr3:uid="{33373A28-E349-4A6C-946C-A172D9829897}" name="Login" dataDxfId="194">
      <calculatedColumnFormula>IF(ISERROR(TblImps[[#This Row],[algorithm]]),0,TblImps[[#This Row],[algorithm]]*1)</calculatedColumnFormula>
    </tableColumn>
    <tableColumn id="14" xr3:uid="{820813AE-0D29-4E3D-B99A-7C5B810B4DA6}" name="Land (3)" dataDxfId="193">
      <calculatedColumnFormula>TblImps[[#This Row],[Land]]</calculatedColumnFormula>
    </tableColumn>
    <tableColumn id="15" xr3:uid="{D8234223-045A-48CE-8E60-8B1B718D1273}" name="Resource" dataDxfId="192"/>
    <tableColumn id="16" xr3:uid="{9AB57DEC-DF25-44AD-97D1-1EF820C63FF2}" name="Amount" dataDxfId="191"/>
    <tableColumn id="17" xr3:uid="{1ECA1762-52EB-4370-862C-42E5B7F71087}" name="Part" dataDxfId="190"/>
    <tableColumn id="18" xr3:uid="{45AD7F60-4F2F-47B2-8046-04C9C5A445EE}" name="Resource 2" dataDxfId="189"/>
    <tableColumn id="19" xr3:uid="{1D8720C7-5940-4FF1-AF3B-FB70E475E9BA}" name="Amount 2" dataDxfId="188"/>
    <tableColumn id="20" xr3:uid="{1AF884E5-0A32-404F-8142-8BDFCA31C5EF}" name="Part 2" dataDxfId="187"/>
    <tableColumn id="21" xr3:uid="{FFCC36EF-B2F1-46BE-827C-260D53435D8F}" name="Resource 3" dataDxfId="186"/>
    <tableColumn id="22" xr3:uid="{AAD98AF1-A248-4594-A8A2-ADB665DABE8F}" name="Amount 3" dataDxfId="185"/>
    <tableColumn id="23" xr3:uid="{5BDF5795-C792-45A5-AC6D-35BE17C06BBC}" name="Part 3" dataDxfId="184"/>
    <tableColumn id="24" xr3:uid="{AB1402EA-4B4E-4F7F-B76D-14CCFC4BF881}" name="…" dataDxfId="183"/>
    <tableColumn id="25" xr3:uid="{C82B3C56-E90F-4536-A41D-465C61544B49}" name="Science" dataDxfId="182">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81">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180">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179">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78">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177">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176"/>
    <tableColumn id="32" xr3:uid="{C7C4061A-6DA9-4687-A437-B442C90A5089}" name="Σ Science" dataDxfId="175">
      <calculatedColumnFormula>(1+Overview!$I$28)*SUM(TblImps[[#This Row],[P2]:[G2]])+OFFSET(TblImps[[#This Row],[Σ Science]],-1,0)</calculatedColumnFormula>
    </tableColumn>
    <tableColumn id="33" xr3:uid="{87424BBC-4CC9-4173-85AC-5C6A6ECFFB84}" name="Σ Keep" dataDxfId="174">
      <calculatedColumnFormula>(1+Overview!$I$28)*SUM(TblImps[[#This Row],[P3]:[G3]])+OFFSET(TblImps[[#This Row],[Σ Keep]],-1,0)</calculatedColumnFormula>
    </tableColumn>
    <tableColumn id="34" xr3:uid="{3DB81FE6-4CBC-4F36-973D-C8F8D1BD09A1}" name="Σ Towers" dataDxfId="173">
      <calculatedColumnFormula>(1+Overview!$I$28 + tech_7_1*TblTech[[#This Row],[7-1]])*SUM(TblImps[[#This Row],[P4]:[G4]])+OFFSET(TblImps[[#This Row],[Σ Towers]],-1,0)</calculatedColumnFormula>
    </tableColumn>
    <tableColumn id="35" xr3:uid="{485A62F9-7EE3-40A9-BDA7-9F3E4E3EC0E1}" name="Σ Forges" dataDxfId="172">
      <calculatedColumnFormula>(1+Overview!$I$28)*SUM(TblImps[[#This Row],[P5]:[G5]])+OFFSET(TblImps[[#This Row],[Σ Forges]],-1,0)</calculatedColumnFormula>
    </tableColumn>
    <tableColumn id="36" xr3:uid="{CEDFD8F7-5AA6-4236-AE0F-14B6F23AE524}" name="Σ Walls" dataDxfId="171">
      <calculatedColumnFormula>(1+Overview!$I$28)*SUM(TblImps[[#This Row],[P6]:[G6]])+OFFSET(TblImps[[#This Row],[Σ Walls]],-1,0)</calculatedColumnFormula>
    </tableColumn>
    <tableColumn id="37" xr3:uid="{1C140D1F-1021-4314-82BD-7176A05B078C}" name="Σ Irrigation" dataDxfId="170">
      <calculatedColumnFormula>(1+Overview!$I$28 + tech_7_1*TblTech[[#This Row],[7-1]])*SUM(TblImps[[#This Row],[P7]:[G7]])+OFFSET(TblImps[[#This Row],[Σ Irrigation]],-1,0)</calculatedColumnFormula>
    </tableColumn>
    <tableColumn id="38" xr3:uid="{808772B5-D74B-4C2E-9369-56BA268972E4}" name="….." dataDxfId="169"/>
    <tableColumn id="39" xr3:uid="{A732ACBF-AEA8-4BC8-8A5C-C0F5525B84B4}" name="P1" dataDxfId="168">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67">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66">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65">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64"/>
    <tableColumn id="44" xr3:uid="{B4E4C91D-5302-4D99-9223-7DC08C0F56E2}" name="P2" dataDxfId="163">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62">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61">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60">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59"/>
    <tableColumn id="49" xr3:uid="{2713D17E-C072-4464-ACFB-1E3B4E4768C8}" name="P3" dataDxfId="158">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57">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56">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55">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54"/>
    <tableColumn id="54" xr3:uid="{60744F8B-EA90-4F3F-908D-1DBF81E4FBBC}" name="P4" dataDxfId="153">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52">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51">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50">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49"/>
    <tableColumn id="59" xr3:uid="{7CAD4FEB-38C3-4ECC-9BB4-566F90D38057}" name="P5" dataDxfId="148">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47">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46">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45">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144"/>
    <tableColumn id="64" xr3:uid="{74BD3EE9-84CB-4606-9851-F46947A6E124}" name="P6" dataDxfId="143">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142">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141">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140">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139"/>
    <tableColumn id="69" xr3:uid="{C84893E8-5E85-463B-9E51-879ADAA64B83}" name="P7" dataDxfId="138">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137">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136">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135">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134"/>
    <tableColumn id="74" xr3:uid="{5E81B67E-95F1-40DA-AE37-BCD09DA9E039}" name="algorithm" dataDxfId="133">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132">
      <calculatedColumnFormula>TblImps[[#This Row],[Login]]</calculatedColumnFormula>
    </tableColumn>
    <tableColumn id="76" xr3:uid="{373275D8-3CBB-4F26-950F-26616E92A24E}" name="….........." dataDxfId="131"/>
    <tableColumn id="77" xr3:uid="{E49F0585-8289-43E9-991C-7685E6B37B5A}" name="Real time" dataDxfId="130">
      <calculatedColumnFormula>OFFSET(TblImps[[#This Row],[Real time]],-1,0)+1/24</calculatedColumnFormula>
    </tableColumn>
    <tableColumn id="78" xr3:uid="{9298E765-5AD3-4871-BC34-97C5588F3D7E}" name="Servertime" dataDxfId="129">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28" dataDxfId="127">
  <autoFilter ref="B2:E23" xr:uid="{D5B14ACA-C49B-4874-B495-C20CC986FF5C}"/>
  <tableColumns count="4">
    <tableColumn id="1" xr3:uid="{FDF1E222-5EC6-4F67-8D2F-219358D518C5}" name="Stats" dataDxfId="126"/>
    <tableColumn id="9" xr3:uid="{92C958C2-2DCD-4CDD-88AA-98294134A916}" name="Abbr" dataDxfId="125"/>
    <tableColumn id="2" xr3:uid="{1E0B1FDB-30FB-48CA-BD3D-8DF2FCB4975C}" name="Number" dataDxfId="124">
      <calculatedColumnFormula>_xlfn.IFNA(INDEX(TblConstr[],MATCH(Log!$I$28,TblConstr[Hour],0),MATCH(TblStats[[#This Row],[Abbr]],TblConstr[#Headers],0)),0)</calculatedColumnFormula>
    </tableColumn>
    <tableColumn id="3" xr3:uid="{ADBF0C8B-030F-4EBA-8274-EAA1CE134BB1}" name="Percent" dataDxfId="123"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122" dataDxfId="121" tableBorderDxfId="120">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119"/>
    <tableColumn id="2" xr3:uid="{00000000-0010-0000-0100-000002000000}" name="Alignment" dataDxfId="118"/>
    <tableColumn id="3" xr3:uid="{00000000-0010-0000-0100-000003000000}" name="Homeland_Type" dataDxfId="117"/>
    <tableColumn id="4" xr3:uid="{00000000-0010-0000-0100-000004000000}" name="Unitname" dataDxfId="116"/>
    <tableColumn id="5" xr3:uid="{00000000-0010-0000-0100-000005000000}" name="OffensePwr" dataDxfId="115"/>
    <tableColumn id="6" xr3:uid="{00000000-0010-0000-0100-000006000000}" name="DefensePwr" dataDxfId="114"/>
    <tableColumn id="7" xr3:uid="{00000000-0010-0000-0100-000007000000}" name="Platcost" dataDxfId="113"/>
    <tableColumn id="8" xr3:uid="{00000000-0010-0000-0100-000008000000}" name="Orecost" dataDxfId="112"/>
    <tableColumn id="9" xr3:uid="{00000000-0010-0000-0100-000009000000}" name="Networth" dataDxfId="111"/>
    <tableColumn id="12" xr3:uid="{00000000-0010-0000-0100-00000C000000}" name="Max population" dataDxfId="110"/>
    <tableColumn id="13" xr3:uid="{00000000-0010-0000-0100-00000D000000}" name="Pop growth" dataDxfId="109"/>
    <tableColumn id="14" xr3:uid="{00000000-0010-0000-0100-00000E000000}" name="Platinum prod" dataDxfId="108"/>
    <tableColumn id="15" xr3:uid="{00000000-0010-0000-0100-00000F000000}" name="Food prod" dataDxfId="107"/>
    <tableColumn id="16" xr3:uid="{00000000-0010-0000-0100-000010000000}" name="Lumber prod" dataDxfId="106"/>
    <tableColumn id="17" xr3:uid="{00000000-0010-0000-0100-000011000000}" name="Mana prod" dataDxfId="105"/>
    <tableColumn id="18" xr3:uid="{00000000-0010-0000-0100-000012000000}" name="Ore prod" dataDxfId="104"/>
    <tableColumn id="19" xr3:uid="{00000000-0010-0000-0100-000013000000}" name="Gem prod" dataDxfId="103"/>
    <tableColumn id="20" xr3:uid="{00000000-0010-0000-0100-000014000000}" name="Food cons" dataDxfId="102"/>
    <tableColumn id="21" xr3:uid="{00000000-0010-0000-0100-000015000000}" name="Defense" dataDxfId="101"/>
    <tableColumn id="22" xr3:uid="{00000000-0010-0000-0100-000016000000}" name="Offense" dataDxfId="100"/>
    <tableColumn id="23" xr3:uid="{00000000-0010-0000-0100-000017000000}" name="Spy strength" dataDxfId="99"/>
    <tableColumn id="24" xr3:uid="{00000000-0010-0000-0100-000018000000}" name="Wizard strength" dataDxfId="98"/>
    <tableColumn id="25" xr3:uid="{00000000-0010-0000-0100-000019000000}" name="Invest bonus" dataDxfId="97"/>
    <tableColumn id="26" xr3:uid="{00000000-0010-0000-0100-00001A000000}" name="Rezone Cost" dataDxfId="96" dataCellStyle="Percent"/>
    <tableColumn id="27" xr3:uid="{00000000-0010-0000-0100-00001B000000}" name="Construction Cost" dataDxfId="95"/>
    <tableColumn id="28" xr3:uid="{00000000-0010-0000-0100-00001C000000}" name="Research" dataDxfId="94"/>
    <tableColumn id="10" xr3:uid="{93A4F69F-9C60-42FB-B0E6-B78AAB579797}" name="Explore Cost" dataDxfId="93"/>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92" dataDxfId="91">
  <autoFilter ref="D90:D96" xr:uid="{00000000-0009-0000-0100-000002000000}"/>
  <tableColumns count="1">
    <tableColumn id="1" xr3:uid="{00000000-0010-0000-0200-000001000000}" name="waves:" dataDxfId="90"/>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1" t="s">
        <v>452</v>
      </c>
      <c r="B1" s="471"/>
      <c r="C1" s="471"/>
      <c r="D1" s="471"/>
      <c r="E1" s="471"/>
      <c r="F1" s="471"/>
      <c r="G1" s="471"/>
      <c r="H1" s="471"/>
      <c r="I1" s="471"/>
      <c r="J1" s="471"/>
      <c r="K1" s="471"/>
      <c r="L1" s="472"/>
      <c r="M1" s="478" t="s">
        <v>1049</v>
      </c>
      <c r="N1" s="479"/>
      <c r="O1" s="480"/>
    </row>
    <row r="2" spans="1:15" s="44" customFormat="1" ht="12.75" customHeight="1" x14ac:dyDescent="0.2">
      <c r="A2" s="465" t="s">
        <v>1089</v>
      </c>
      <c r="B2" s="466"/>
      <c r="C2" s="466"/>
      <c r="D2" s="466"/>
      <c r="E2" s="466"/>
      <c r="F2" s="466"/>
      <c r="G2" s="466"/>
      <c r="H2" s="466"/>
      <c r="I2" s="466"/>
      <c r="J2" s="466"/>
      <c r="K2" s="466"/>
      <c r="L2" s="467"/>
      <c r="M2" s="452" t="s">
        <v>1122</v>
      </c>
      <c r="N2" s="453"/>
      <c r="O2" s="454"/>
    </row>
    <row r="3" spans="1:15" s="44" customFormat="1" x14ac:dyDescent="0.2">
      <c r="A3" s="465"/>
      <c r="B3" s="466"/>
      <c r="C3" s="466"/>
      <c r="D3" s="466"/>
      <c r="E3" s="466"/>
      <c r="F3" s="466"/>
      <c r="G3" s="466"/>
      <c r="H3" s="466"/>
      <c r="I3" s="466"/>
      <c r="J3" s="466"/>
      <c r="K3" s="466"/>
      <c r="L3" s="467"/>
      <c r="M3" s="452"/>
      <c r="N3" s="453"/>
      <c r="O3" s="454"/>
    </row>
    <row r="4" spans="1:15" s="44" customFormat="1" x14ac:dyDescent="0.2">
      <c r="A4" s="465"/>
      <c r="B4" s="466"/>
      <c r="C4" s="466"/>
      <c r="D4" s="466"/>
      <c r="E4" s="466"/>
      <c r="F4" s="466"/>
      <c r="G4" s="466"/>
      <c r="H4" s="466"/>
      <c r="I4" s="466"/>
      <c r="J4" s="466"/>
      <c r="K4" s="466"/>
      <c r="L4" s="467"/>
      <c r="M4" s="452"/>
      <c r="N4" s="453"/>
      <c r="O4" s="454"/>
    </row>
    <row r="5" spans="1:15" s="44" customFormat="1" x14ac:dyDescent="0.2">
      <c r="A5" s="465"/>
      <c r="B5" s="466"/>
      <c r="C5" s="466"/>
      <c r="D5" s="466"/>
      <c r="E5" s="466"/>
      <c r="F5" s="466"/>
      <c r="G5" s="466"/>
      <c r="H5" s="466"/>
      <c r="I5" s="466"/>
      <c r="J5" s="466"/>
      <c r="K5" s="466"/>
      <c r="L5" s="467"/>
      <c r="M5" s="452"/>
      <c r="N5" s="453"/>
      <c r="O5" s="454"/>
    </row>
    <row r="6" spans="1:15" s="44" customFormat="1" x14ac:dyDescent="0.2">
      <c r="A6" s="465"/>
      <c r="B6" s="466"/>
      <c r="C6" s="466"/>
      <c r="D6" s="466"/>
      <c r="E6" s="466"/>
      <c r="F6" s="466"/>
      <c r="G6" s="466"/>
      <c r="H6" s="466"/>
      <c r="I6" s="466"/>
      <c r="J6" s="466"/>
      <c r="K6" s="466"/>
      <c r="L6" s="467"/>
      <c r="M6" s="452"/>
      <c r="N6" s="453"/>
      <c r="O6" s="454"/>
    </row>
    <row r="7" spans="1:15" s="44" customFormat="1" ht="13.5" thickBot="1" x14ac:dyDescent="0.25">
      <c r="A7" s="468"/>
      <c r="B7" s="469"/>
      <c r="C7" s="469"/>
      <c r="D7" s="469"/>
      <c r="E7" s="469"/>
      <c r="F7" s="469"/>
      <c r="G7" s="469"/>
      <c r="H7" s="469"/>
      <c r="I7" s="469"/>
      <c r="J7" s="469"/>
      <c r="K7" s="469"/>
      <c r="L7" s="470"/>
      <c r="M7" s="452"/>
      <c r="N7" s="453"/>
      <c r="O7" s="454"/>
    </row>
    <row r="8" spans="1:15" s="44" customFormat="1" ht="15.75" x14ac:dyDescent="0.2">
      <c r="A8" s="473" t="s">
        <v>451</v>
      </c>
      <c r="B8" s="474"/>
      <c r="C8" s="474"/>
      <c r="D8" s="474"/>
      <c r="E8" s="474"/>
      <c r="F8" s="474"/>
      <c r="G8" s="474"/>
      <c r="H8" s="474"/>
      <c r="I8" s="475"/>
      <c r="J8" s="481" t="s">
        <v>1123</v>
      </c>
      <c r="K8" s="482"/>
      <c r="L8" s="483"/>
      <c r="M8" s="455"/>
      <c r="N8" s="456"/>
      <c r="O8" s="457"/>
    </row>
    <row r="9" spans="1:15" s="44" customFormat="1" ht="12.75" customHeight="1" x14ac:dyDescent="0.2">
      <c r="A9" s="476" t="s">
        <v>1048</v>
      </c>
      <c r="B9" s="477"/>
      <c r="C9" s="477"/>
      <c r="D9" s="477"/>
      <c r="E9" s="477"/>
      <c r="F9" s="477"/>
      <c r="G9" s="477"/>
      <c r="H9" s="477"/>
      <c r="I9" s="477"/>
      <c r="J9" s="484"/>
      <c r="K9" s="485"/>
      <c r="L9" s="486"/>
      <c r="M9" s="455"/>
      <c r="N9" s="456"/>
      <c r="O9" s="457"/>
    </row>
    <row r="10" spans="1:15" s="44" customFormat="1" ht="12.75" customHeight="1" x14ac:dyDescent="0.2">
      <c r="A10" s="476"/>
      <c r="B10" s="477"/>
      <c r="C10" s="477"/>
      <c r="D10" s="477"/>
      <c r="E10" s="477"/>
      <c r="F10" s="477"/>
      <c r="G10" s="477"/>
      <c r="H10" s="477"/>
      <c r="I10" s="477"/>
      <c r="J10" s="484"/>
      <c r="K10" s="485"/>
      <c r="L10" s="486"/>
      <c r="M10" s="455"/>
      <c r="N10" s="456"/>
      <c r="O10" s="457"/>
    </row>
    <row r="11" spans="1:15" s="44" customFormat="1" ht="12.75" customHeight="1" x14ac:dyDescent="0.2">
      <c r="A11" s="476"/>
      <c r="B11" s="477"/>
      <c r="C11" s="477"/>
      <c r="D11" s="477"/>
      <c r="E11" s="477"/>
      <c r="F11" s="477"/>
      <c r="G11" s="477"/>
      <c r="H11" s="477"/>
      <c r="I11" s="477"/>
      <c r="J11" s="484"/>
      <c r="K11" s="485"/>
      <c r="L11" s="486"/>
      <c r="M11" s="455"/>
      <c r="N11" s="456"/>
      <c r="O11" s="457"/>
    </row>
    <row r="12" spans="1:15" s="44" customFormat="1" ht="28.5" customHeight="1" thickBot="1" x14ac:dyDescent="0.25">
      <c r="A12" s="476"/>
      <c r="B12" s="477"/>
      <c r="C12" s="477"/>
      <c r="D12" s="477"/>
      <c r="E12" s="477"/>
      <c r="F12" s="477"/>
      <c r="G12" s="477"/>
      <c r="H12" s="477"/>
      <c r="I12" s="477"/>
      <c r="J12" s="487"/>
      <c r="K12" s="488"/>
      <c r="L12" s="489"/>
      <c r="M12" s="458"/>
      <c r="N12" s="459"/>
      <c r="O12" s="460"/>
    </row>
    <row r="13" spans="1:15" s="44" customFormat="1" ht="25.5" customHeight="1" thickBot="1" x14ac:dyDescent="0.25">
      <c r="A13" s="461" t="s">
        <v>258</v>
      </c>
      <c r="B13" s="462"/>
      <c r="C13" s="463"/>
      <c r="D13" s="463"/>
      <c r="E13" s="463"/>
      <c r="F13" s="463"/>
      <c r="G13" s="463"/>
      <c r="H13" s="463"/>
      <c r="I13" s="463"/>
      <c r="J13" s="463"/>
      <c r="K13" s="463"/>
      <c r="L13" s="463"/>
      <c r="M13" s="463"/>
      <c r="N13" s="463"/>
      <c r="O13" s="463"/>
    </row>
    <row r="14" spans="1:15" s="52" customFormat="1" ht="12.75" customHeight="1" x14ac:dyDescent="0.2">
      <c r="A14" s="45" t="s">
        <v>28</v>
      </c>
      <c r="B14" s="133" t="s">
        <v>89</v>
      </c>
      <c r="C14" s="46"/>
      <c r="D14" s="47" t="s">
        <v>324</v>
      </c>
      <c r="E14" s="47" t="s">
        <v>775</v>
      </c>
      <c r="F14" s="44"/>
      <c r="G14" s="44"/>
      <c r="H14" s="47" t="s">
        <v>488</v>
      </c>
      <c r="I14" s="48" t="s">
        <v>208</v>
      </c>
      <c r="J14" s="49"/>
      <c r="K14" s="50"/>
      <c r="L14" s="44"/>
      <c r="M14" s="44"/>
      <c r="N14" s="44"/>
      <c r="O14" s="51"/>
    </row>
    <row r="15" spans="1:15" s="44" customFormat="1" ht="12.75" customHeight="1" x14ac:dyDescent="0.2">
      <c r="A15" s="45" t="s">
        <v>449</v>
      </c>
      <c r="B15" s="134">
        <v>45305</v>
      </c>
      <c r="D15" s="45" t="s">
        <v>325</v>
      </c>
      <c r="E15" s="53">
        <f>B15+(1+B16-1)/24+B18-0/24</f>
        <v>45305</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528</v>
      </c>
      <c r="D16" s="45" t="s">
        <v>318</v>
      </c>
      <c r="E16" s="53">
        <f ca="1">NOW()</f>
        <v>45294.933820833336</v>
      </c>
      <c r="H16" s="45" t="s">
        <v>105</v>
      </c>
      <c r="I16" s="54">
        <f>INDEX(TblRaces[[Max population]:[Explore Cost]],MATCH(race,TblRaces[Race],0),MATCH(Table4[[#This Row],[Race Bonuses]],TblRaces[[#Headers],[Max population]:[Explore Cost]],0))</f>
        <v>0</v>
      </c>
      <c r="K16" s="464" t="s">
        <v>453</v>
      </c>
      <c r="L16" s="449"/>
      <c r="M16" s="449"/>
      <c r="N16" s="449"/>
      <c r="O16" s="51"/>
    </row>
    <row r="17" spans="1:15" s="44" customFormat="1" ht="12.75" customHeight="1" thickBot="1" x14ac:dyDescent="0.25">
      <c r="A17" s="45" t="s">
        <v>322</v>
      </c>
      <c r="B17" s="55">
        <f ca="1">TODAY()</f>
        <v>45294</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25">
      <c r="A18" s="59" t="s">
        <v>502</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64"/>
      <c r="L26" s="464"/>
      <c r="M26" s="464"/>
      <c r="N26" s="464"/>
      <c r="O26" s="60"/>
    </row>
    <row r="27" spans="1:15" s="44" customFormat="1" x14ac:dyDescent="0.2">
      <c r="A27" s="442" t="s">
        <v>1099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64"/>
      <c r="L27" s="464"/>
      <c r="M27" s="464"/>
      <c r="N27" s="46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489</v>
      </c>
      <c r="I29" s="54">
        <f>INDEX(TblRaces[[Max population]:[Explore Cost]],MATCH(race,TblRaces[Race],0),MATCH(Table4[[#This Row],[Race Bonuses]],TblRaces[[#Headers],[Max population]:[Explore Cost]],0))</f>
        <v>0</v>
      </c>
      <c r="O29" s="60"/>
    </row>
    <row r="30" spans="1:15" s="44" customFormat="1" x14ac:dyDescent="0.2">
      <c r="A30" s="66" t="s">
        <v>1084</v>
      </c>
      <c r="D30" s="67"/>
      <c r="E30" s="68"/>
      <c r="G30" s="51"/>
      <c r="H30" s="45" t="s">
        <v>490</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527</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1076</v>
      </c>
      <c r="I32" s="438">
        <f>INDEX(TblRaces[[Max population]:[Explore Cost]],MATCH(race,TblRaces[Race],0),MATCH(Table4[[#This Row],[Race Bonuses]],TblRaces[[#Headers],[Max population]:[Explore Cost]],0))</f>
        <v>0</v>
      </c>
      <c r="J32" s="70"/>
      <c r="O32" s="75"/>
    </row>
    <row r="33" spans="1:15" s="76" customFormat="1" ht="29.25" customHeight="1" x14ac:dyDescent="0.2">
      <c r="A33" s="448" t="s">
        <v>378</v>
      </c>
      <c r="B33" s="449"/>
      <c r="C33" s="449"/>
      <c r="D33" s="449"/>
      <c r="E33" s="449"/>
      <c r="F33" s="449"/>
      <c r="G33" s="449"/>
      <c r="H33" s="449"/>
      <c r="I33" s="449"/>
      <c r="J33" s="450"/>
      <c r="K33" s="451"/>
      <c r="L33" s="451"/>
      <c r="M33" s="451"/>
      <c r="N33" s="451"/>
      <c r="O33" s="451"/>
    </row>
    <row r="34" spans="1:15" x14ac:dyDescent="0.2">
      <c r="A34" s="5" t="s">
        <v>22</v>
      </c>
      <c r="B34" s="45" t="s">
        <v>356</v>
      </c>
      <c r="C34" s="77" t="s">
        <v>31</v>
      </c>
      <c r="D34" s="78" t="s">
        <v>208</v>
      </c>
      <c r="E34" s="79" t="s">
        <v>1020</v>
      </c>
      <c r="F34" s="77" t="s">
        <v>32</v>
      </c>
      <c r="G34" s="78" t="s">
        <v>1018</v>
      </c>
      <c r="H34" s="78" t="s">
        <v>1019</v>
      </c>
      <c r="I34" s="80" t="s">
        <v>775</v>
      </c>
      <c r="J34" s="44"/>
      <c r="K34" s="44"/>
      <c r="L34" s="44"/>
      <c r="M34" s="44"/>
      <c r="N34" s="44"/>
      <c r="O34" s="81"/>
    </row>
    <row r="35" spans="1:15"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430</v>
      </c>
      <c r="L36" s="494"/>
      <c r="M36" s="494"/>
      <c r="N36" s="494"/>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4"/>
      <c r="L37" s="494"/>
      <c r="M37" s="494"/>
      <c r="N37" s="494"/>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450</v>
      </c>
      <c r="L39" s="495"/>
      <c r="M39" s="495"/>
      <c r="N39" s="495"/>
      <c r="O39" s="51"/>
    </row>
    <row r="40" spans="1:15" ht="13.5" thickTop="1" x14ac:dyDescent="0.2">
      <c r="A40" s="101"/>
      <c r="B40" s="88"/>
      <c r="C40" s="102">
        <f ca="1">SUM(C36:C39)</f>
        <v>0</v>
      </c>
      <c r="E40" s="103">
        <f ca="1">SUM(E36:E39)</f>
        <v>0</v>
      </c>
      <c r="F40" s="35">
        <f ca="1">SUM(F36:F39)</f>
        <v>450</v>
      </c>
      <c r="H40" s="35">
        <f ca="1">SUM(H36:H39)</f>
        <v>450</v>
      </c>
      <c r="I40" s="84"/>
      <c r="J40" s="44"/>
      <c r="K40" s="495"/>
      <c r="L40" s="495"/>
      <c r="M40" s="495"/>
      <c r="N40" s="495"/>
      <c r="O40" s="51"/>
    </row>
    <row r="41" spans="1:15" x14ac:dyDescent="0.2">
      <c r="A41" s="104" t="s">
        <v>24</v>
      </c>
      <c r="B41" s="97">
        <f ca="1">F41</f>
        <v>626</v>
      </c>
      <c r="C41" s="104"/>
      <c r="E41" s="105"/>
      <c r="F41" s="97">
        <f ca="1">Military!AA76</f>
        <v>626</v>
      </c>
      <c r="H41" s="97">
        <f ca="1">F41*(1+$G$36)</f>
        <v>626</v>
      </c>
      <c r="I41" s="92" t="s">
        <v>421</v>
      </c>
      <c r="J41" s="44"/>
      <c r="K41" s="493" t="s">
        <v>448</v>
      </c>
      <c r="L41" s="494"/>
      <c r="M41" s="494"/>
      <c r="N41" s="494"/>
      <c r="O41" s="51"/>
    </row>
    <row r="42" spans="1:15" ht="13.5" thickBot="1" x14ac:dyDescent="0.25">
      <c r="A42" s="104" t="s">
        <v>420</v>
      </c>
      <c r="B42" s="45">
        <f ca="1">E54</f>
        <v>0</v>
      </c>
      <c r="C42" s="104"/>
      <c r="E42" s="105"/>
      <c r="F42" s="106">
        <f ca="1">MIN(Population!C76/2,Constants!B14*20*Construction!BE76)</f>
        <v>0</v>
      </c>
      <c r="H42" s="107">
        <f ca="1">F42*(1+$G$36)</f>
        <v>0</v>
      </c>
      <c r="I42" s="92" t="s">
        <v>379</v>
      </c>
      <c r="J42" s="44"/>
      <c r="K42" s="494"/>
      <c r="L42" s="494"/>
      <c r="M42" s="494"/>
      <c r="N42" s="494"/>
      <c r="O42" s="51"/>
    </row>
    <row r="43" spans="1:15" ht="13.5" thickTop="1" x14ac:dyDescent="0.2">
      <c r="C43" s="104"/>
      <c r="E43" s="105"/>
      <c r="F43" s="35">
        <f ca="1">F41+F40+F42</f>
        <v>1076</v>
      </c>
      <c r="H43" s="103">
        <f ca="1">H41+H40+H42</f>
        <v>1076</v>
      </c>
      <c r="I43" s="92"/>
      <c r="J43" s="44"/>
      <c r="K43" s="449"/>
      <c r="L43" s="449"/>
      <c r="M43" s="449"/>
      <c r="N43" s="449"/>
      <c r="O43" s="51"/>
    </row>
    <row r="44" spans="1:15" x14ac:dyDescent="0.2">
      <c r="A44" s="44"/>
      <c r="B44" s="44"/>
      <c r="C44" s="44"/>
      <c r="D44" s="492"/>
      <c r="E44" s="492"/>
      <c r="F44" s="492"/>
      <c r="G44" s="492"/>
      <c r="H44" s="492"/>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1099</v>
      </c>
      <c r="B46" s="443">
        <f ca="1">Military!J76</f>
        <v>0</v>
      </c>
      <c r="C46" s="44"/>
      <c r="D46" s="5" t="s">
        <v>254</v>
      </c>
      <c r="E46" s="57" t="s">
        <v>356</v>
      </c>
      <c r="F46" s="45" t="s">
        <v>1021</v>
      </c>
      <c r="G46" s="44"/>
      <c r="H46" s="50" t="s">
        <v>256</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1.8</v>
      </c>
      <c r="J49" s="114">
        <f ca="1">H40/E47</f>
        <v>1.8</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0</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Production!H64+SUM(Military!AR4:AR64)</f>
        <v>450038</v>
      </c>
      <c r="K55" s="44"/>
      <c r="L55" s="44"/>
      <c r="M55" s="44"/>
      <c r="N55" s="44"/>
      <c r="O55" s="51"/>
    </row>
    <row r="56" spans="1:15" x14ac:dyDescent="0.2">
      <c r="A56" s="117" t="s">
        <v>232</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Production!H67+SUM(Military!AR5:AR67)</f>
        <v>466496</v>
      </c>
      <c r="K56" s="120"/>
      <c r="L56" s="44"/>
      <c r="M56" s="44"/>
      <c r="N56" s="44"/>
      <c r="O56" s="51"/>
    </row>
    <row r="57" spans="1:15" x14ac:dyDescent="0.2">
      <c r="A57" s="118" t="s">
        <v>268</v>
      </c>
      <c r="B57" s="428">
        <f ca="1">H40</f>
        <v>450</v>
      </c>
      <c r="C57" s="44"/>
      <c r="D57" s="111" t="str">
        <f>Construction!BJ3</f>
        <v>Tot Bar</v>
      </c>
      <c r="E57" s="45">
        <f ca="1">Construction!BJ76</f>
        <v>0</v>
      </c>
      <c r="F57" s="113">
        <f t="shared" ca="1" si="0"/>
        <v>0</v>
      </c>
      <c r="G57" s="44"/>
      <c r="H57" s="119" t="s">
        <v>231</v>
      </c>
      <c r="I57" s="62">
        <f ca="1">Production!H76</f>
        <v>515870</v>
      </c>
      <c r="J57" s="62">
        <f ca="1">Production!H76+SUM(Military!AR4:AR76)</f>
        <v>515870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VLOOKUP($B$14,Races!$A$4:$B$112,2,FALSE)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0" t="s">
        <v>289</v>
      </c>
      <c r="B73" s="491"/>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1</v>
      </c>
      <c r="E84" s="127" t="b">
        <f>$B$14=A84</f>
        <v>0</v>
      </c>
    </row>
    <row r="85" spans="1:5" x14ac:dyDescent="0.2">
      <c r="A85" s="127" t="s">
        <v>501</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88" priority="3" stopIfTrue="1">
      <formula>$D$44&lt;&gt;""</formula>
    </cfRule>
  </conditionalFormatting>
  <conditionalFormatting sqref="E18">
    <cfRule type="cellIs" dxfId="87" priority="4" stopIfTrue="1" operator="equal">
      <formula>"""Yes"""</formula>
    </cfRule>
    <cfRule type="expression" dxfId="86" priority="5" stopIfTrue="1">
      <formula>ISERROR(E18)</formula>
    </cfRule>
  </conditionalFormatting>
  <conditionalFormatting sqref="E17">
    <cfRule type="cellIs" dxfId="85" priority="6" stopIfTrue="1" operator="lessThan">
      <formula>1</formula>
    </cfRule>
  </conditionalFormatting>
  <conditionalFormatting sqref="A30">
    <cfRule type="expression" dxfId="84" priority="1">
      <formula>$B$14&lt;&gt;"Dark Elf"</formula>
    </cfRule>
    <cfRule type="expression" dxfId="83"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775</v>
      </c>
      <c r="L3" s="138" t="s">
        <v>1022</v>
      </c>
      <c r="M3" s="138" t="s">
        <v>771</v>
      </c>
      <c r="N3" s="138" t="s">
        <v>772</v>
      </c>
      <c r="O3" s="138" t="s">
        <v>773</v>
      </c>
      <c r="P3" s="138" t="s">
        <v>774</v>
      </c>
      <c r="Q3" s="138" t="s">
        <v>25</v>
      </c>
      <c r="R3" s="138" t="s">
        <v>26</v>
      </c>
      <c r="S3" s="138" t="s">
        <v>184</v>
      </c>
      <c r="T3" s="138" t="s">
        <v>776</v>
      </c>
      <c r="U3" s="138" t="s">
        <v>228</v>
      </c>
      <c r="V3" s="138" t="s">
        <v>176</v>
      </c>
      <c r="W3" s="138" t="s">
        <v>175</v>
      </c>
      <c r="X3" s="138" t="s">
        <v>234</v>
      </c>
      <c r="Y3" s="138" t="s">
        <v>227</v>
      </c>
      <c r="Z3" s="138" t="s">
        <v>1039</v>
      </c>
      <c r="AA3" s="138" t="s">
        <v>778</v>
      </c>
      <c r="AB3" s="138" t="s">
        <v>169</v>
      </c>
      <c r="AC3" s="138" t="s">
        <v>173</v>
      </c>
    </row>
    <row r="4" spans="1:30" x14ac:dyDescent="0.2">
      <c r="A4" s="140">
        <f>TblRezone[[#This Row],[Hour]]</f>
        <v>1</v>
      </c>
      <c r="B4" s="141">
        <f>TblImps[[#This Row],[Time]]</f>
        <v>45305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45305.041666666664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45305.083333333328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45305.124999999993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45305.166666666657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45305.208333333321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45305.249999999985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45305.29166666665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45305.333333333314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45305.374999999978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45305.416666666642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45305.458333333307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45305.499999999971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45305.541666666635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45305.583333333299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45305.624999999964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45305.666666666628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45305.708333333292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45305.749999999956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45305.791666666621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45305.833333333285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45305.874999999949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45305.916666666613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45305.958333333278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45305.999999999942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45306.041666666606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45306.08333333327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45306.124999999935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45306.166666666599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45306.208333333263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45306.249999999927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45306.291666666591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45306.333333333256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45306.37499999992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45306.416666666584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45306.458333333248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45306.499999999913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45306.541666666577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45306.583333333241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45306.624999999905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45306.66666666657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45306.708333333234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45306.749999999898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45306.791666666562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45306.833333333227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45306.874999999891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45306.916666666555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45306.958333333219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45306.999999999884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45307.041666666548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45307.083333333212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45307.124999999876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45307.166666666541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45307.208333333205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45307.249999999869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45307.291666666533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45307.333333333198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45307.374999999862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45307.416666666526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45307.45833333319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45307.499999999854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45307.541666666519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45307.583333333183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45307.624999999847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45307.666666666511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45307.708333333176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45307.74999999984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45307.791666666504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45307.833333333168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45307.874999999833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45307.916666666497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45307.958333333161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45307.999999999825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45308.04166666649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45308.083333333154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45308.124999999818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45308.166666666482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45308.208333333147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45308.249999999811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45308.291666666475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45308.333333333139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45308.374999999804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45308.416666666468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45308.458333333132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45308.499999999796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45308.541666666461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45308.583333333125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45308.624999999789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45308.666666666453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45308.708333333117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45308.749999999782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45308.791666666446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45308.83333333311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45308.874999999774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45308.916666666439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45308.958333333103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45308.999999999767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45309.041666666431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45309.083333333096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45309.12499999976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45309.166666666424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45309.208333333088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45309.249999999753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45309.291666666417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45309.333333333081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45309.374999999745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45309.41666666641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45309.458333333074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45309.499999999738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45309.541666666402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45309.583333333067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45309.624999999731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45309.666666666395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45309.708333333059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45309.749999999724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45309.791666666388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45309.833333333052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45309.874999999716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45309.91666666638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45309.958333333045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45309.999999999709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45310.041666666373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45310.083333333037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45310.124999999702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45310.166666666366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45310.20833333303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45310.249999999694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45310.291666666359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45310.333333333023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45310.374999999687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45310.416666666351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45310.458333333016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45310.49999999968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317</v>
      </c>
      <c r="D1269" s="449"/>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2" priority="1" stopIfTrue="1">
      <formula>OR(C4&lt;0,ROW()-3=$C$1270)</formula>
    </cfRule>
  </conditionalFormatting>
  <conditionalFormatting sqref="A1269:XFD1270">
    <cfRule type="expression" dxfId="81" priority="106" stopIfTrue="1">
      <formula>$C$1270&gt;144</formula>
    </cfRule>
  </conditionalFormatting>
  <conditionalFormatting sqref="A4:AC136">
    <cfRule type="expression" dxfId="80" priority="12" stopIfTrue="1">
      <formula>ROW()-3=$C$1270</formula>
    </cfRule>
    <cfRule type="expression" dxfId="79" priority="112">
      <formula>$A4=73</formula>
    </cfRule>
    <cfRule type="expression" dxfId="78" priority="113">
      <formula>ROUND(($A4-1)/12,0)=INT($A4-1)/12</formula>
    </cfRule>
  </conditionalFormatting>
  <conditionalFormatting sqref="A1:XFD3">
    <cfRule type="expression" dxfId="77"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775</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776</v>
      </c>
      <c r="S3" s="138" t="s">
        <v>6</v>
      </c>
      <c r="T3" s="138" t="s">
        <v>9</v>
      </c>
      <c r="U3" s="138" t="s">
        <v>8</v>
      </c>
      <c r="V3" s="138" t="s">
        <v>13</v>
      </c>
      <c r="W3" s="138" t="s">
        <v>10</v>
      </c>
      <c r="X3" s="138" t="s">
        <v>11</v>
      </c>
      <c r="Y3" s="138" t="s">
        <v>50</v>
      </c>
      <c r="Z3" s="138" t="s">
        <v>777</v>
      </c>
      <c r="AA3" s="138" t="s">
        <v>840</v>
      </c>
      <c r="AB3" s="138" t="s">
        <v>841</v>
      </c>
      <c r="AC3" s="138" t="s">
        <v>842</v>
      </c>
      <c r="AD3" s="138" t="s">
        <v>843</v>
      </c>
      <c r="AE3" s="138" t="s">
        <v>844</v>
      </c>
      <c r="AF3" s="138" t="s">
        <v>845</v>
      </c>
      <c r="AG3" s="138" t="s">
        <v>778</v>
      </c>
      <c r="AH3" s="138" t="s">
        <v>846</v>
      </c>
      <c r="AI3" s="138" t="s">
        <v>847</v>
      </c>
      <c r="AJ3" s="138" t="s">
        <v>848</v>
      </c>
      <c r="AK3" s="138" t="s">
        <v>849</v>
      </c>
      <c r="AL3" s="138" t="s">
        <v>850</v>
      </c>
      <c r="AM3" s="138" t="s">
        <v>851</v>
      </c>
      <c r="AN3" s="138" t="s">
        <v>792</v>
      </c>
      <c r="AO3" s="138" t="s">
        <v>14</v>
      </c>
      <c r="AP3" s="138" t="s">
        <v>20</v>
      </c>
      <c r="AQ3" s="138" t="s">
        <v>16</v>
      </c>
      <c r="AR3" s="138" t="s">
        <v>15</v>
      </c>
      <c r="AS3" s="138" t="s">
        <v>793</v>
      </c>
      <c r="AT3" s="138" t="s">
        <v>852</v>
      </c>
      <c r="AU3" s="138" t="s">
        <v>853</v>
      </c>
      <c r="AV3" s="138" t="s">
        <v>854</v>
      </c>
      <c r="AW3" s="138" t="s">
        <v>855</v>
      </c>
      <c r="AX3" s="138" t="s">
        <v>856</v>
      </c>
      <c r="AY3" s="138" t="s">
        <v>794</v>
      </c>
      <c r="AZ3" s="138" t="s">
        <v>327</v>
      </c>
      <c r="BA3" s="138" t="s">
        <v>328</v>
      </c>
      <c r="BB3" s="138" t="s">
        <v>857</v>
      </c>
      <c r="BC3" s="138" t="s">
        <v>858</v>
      </c>
      <c r="BD3" s="138" t="s">
        <v>859</v>
      </c>
      <c r="BE3" s="138" t="s">
        <v>860</v>
      </c>
      <c r="BF3" s="138" t="s">
        <v>861</v>
      </c>
      <c r="BG3" s="138" t="s">
        <v>862</v>
      </c>
      <c r="BH3" s="138" t="s">
        <v>195</v>
      </c>
      <c r="BI3" s="138" t="s">
        <v>863</v>
      </c>
      <c r="BJ3" s="138" t="s">
        <v>864</v>
      </c>
      <c r="BK3" s="138" t="s">
        <v>865</v>
      </c>
      <c r="BL3" s="138" t="s">
        <v>866</v>
      </c>
      <c r="BM3" s="138" t="s">
        <v>867</v>
      </c>
    </row>
    <row r="4" spans="1:65" x14ac:dyDescent="0.2">
      <c r="A4" s="140">
        <f>TblRezone[[#This Row],[Hour]]</f>
        <v>1</v>
      </c>
      <c r="B4" s="155">
        <f>TblImps[[#This Row],[Time]]</f>
        <v>45305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45305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45305.041666666664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45305.041666666664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45305.083333333328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45305.083333333328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45305.124999999993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45305.124999999993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45305.166666666657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45305.166666666657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45305.208333333321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45305.208333333321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45305.249999999985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45305.249999999985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45305.29166666665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45305.29166666665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45305.333333333314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45305.333333333314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45305.374999999978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45305.374999999978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45305.416666666642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45305.416666666642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45305.458333333307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45305.458333333307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45305.499999999971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45305.499999999971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45305.541666666635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45305.541666666635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45305.583333333299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45305.583333333299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45305.624999999964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45305.624999999964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45305.666666666628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45305.666666666628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45305.708333333292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45305.708333333292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45305.749999999956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45305.749999999956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45305.791666666621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45305.791666666621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45305.833333333285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45305.833333333285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45305.874999999949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45305.874999999949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45305.916666666613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45305.916666666613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45305.958333333278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45305.958333333278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45305.999999999942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45305.999999999942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45306.041666666606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45306.041666666606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45306.08333333327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45306.08333333327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45306.124999999935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45306.124999999935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45306.166666666599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45306.166666666599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45306.208333333263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45306.208333333263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45306.249999999927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45306.249999999927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45306.291666666591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45306.291666666591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45306.333333333256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45306.333333333256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45306.37499999992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45306.37499999992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45306.416666666584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45306.416666666584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45306.458333333248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45306.458333333248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45306.499999999913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45306.499999999913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45306.541666666577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45306.541666666577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45306.583333333241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45306.583333333241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45306.624999999905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45306.624999999905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45306.66666666657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45306.66666666657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45306.708333333234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45306.708333333234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45306.749999999898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45306.749999999898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45306.791666666562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45306.791666666562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45306.833333333227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45306.833333333227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45306.874999999891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45306.874999999891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45306.916666666555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45306.916666666555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45306.958333333219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45306.958333333219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45306.999999999884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45306.999999999884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45307.041666666548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45307.041666666548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45307.083333333212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45307.083333333212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45307.124999999876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45307.124999999876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45307.166666666541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45307.166666666541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45307.208333333205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45307.208333333205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45307.249999999869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45307.249999999869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45307.291666666533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45307.291666666533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45307.333333333198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45307.333333333198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45307.374999999862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45307.374999999862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45307.416666666526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45307.416666666526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45307.45833333319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45307.45833333319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45307.499999999854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45307.499999999854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45307.541666666519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45307.541666666519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45307.583333333183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45307.583333333183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45307.624999999847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45307.624999999847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45307.666666666511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45307.666666666511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45307.708333333176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45307.708333333176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45307.74999999984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45307.74999999984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45307.791666666504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45307.791666666504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45307.833333333168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45307.833333333168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45307.874999999833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45307.874999999833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45307.916666666497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45307.916666666497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45307.958333333161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45307.958333333161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45307.999999999825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45307.999999999825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45308.04166666649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45308.04166666649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45308.083333333154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45308.083333333154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45308.124999999818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45308.124999999818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45308.166666666482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45308.166666666482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45308.208333333147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45308.208333333147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45308.249999999811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45308.249999999811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45308.291666666475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45308.291666666475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45308.333333333139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45308.333333333139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45308.374999999804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45308.374999999804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45308.416666666468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45308.416666666468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45308.458333333132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45308.458333333132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45308.499999999796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45308.499999999796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45308.541666666461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45308.541666666461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45308.583333333125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45308.583333333125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45308.624999999789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45308.624999999789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45308.666666666453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45308.666666666453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45308.708333333117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45308.708333333117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45308.749999999782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45308.749999999782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45308.791666666446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45308.791666666446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45308.83333333311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45308.83333333311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45308.874999999774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45308.874999999774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45308.916666666439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45308.916666666439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45308.958333333103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45308.958333333103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45308.999999999767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45308.999999999767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45309.041666666431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45309.041666666431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45309.083333333096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45309.083333333096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45309.12499999976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45309.12499999976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45309.166666666424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45309.166666666424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45309.208333333088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45309.208333333088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45309.249999999753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45309.249999999753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45309.291666666417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45309.291666666417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45309.333333333081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45309.333333333081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45309.374999999745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45309.374999999745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45309.41666666641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45309.41666666641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45309.458333333074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45309.458333333074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45309.499999999738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45309.499999999738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45309.541666666402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45309.541666666402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45309.583333333067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45309.583333333067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45309.624999999731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45309.624999999731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45309.666666666395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45309.666666666395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45309.708333333059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45309.708333333059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45309.749999999724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45309.749999999724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45309.791666666388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45309.791666666388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45309.833333333052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45309.833333333052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45309.874999999716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45309.874999999716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45309.91666666638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45309.91666666638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45309.958333333045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45309.958333333045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45309.999999999709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45309.999999999709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45310.041666666373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45310.041666666373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45310.083333333037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45310.083333333037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45310.124999999702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45310.124999999702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45310.166666666366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45310.166666666366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45310.20833333303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45310.20833333303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45310.249999999694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45310.249999999694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45310.291666666359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45310.291666666359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45310.333333333023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45310.333333333023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45310.374999999687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45310.374999999687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45310.416666666351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45310.416666666351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45310.458333333016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45310.458333333016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45310.49999999968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45310.49999999968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6" t="s">
        <v>317</v>
      </c>
      <c r="D1269" s="449"/>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6" priority="58" stopIfTrue="1">
      <formula>ROW()-2=#REF!</formula>
    </cfRule>
  </conditionalFormatting>
  <conditionalFormatting sqref="A1269:XFD1270">
    <cfRule type="expression" dxfId="75" priority="59" stopIfTrue="1">
      <formula>$C$1270&gt;144</formula>
    </cfRule>
  </conditionalFormatting>
  <conditionalFormatting sqref="E4:Q136">
    <cfRule type="expression" dxfId="74" priority="39" stopIfTrue="1">
      <formula>OR(ROW()-3=$C$1270,E4&lt;0)</formula>
    </cfRule>
  </conditionalFormatting>
  <conditionalFormatting sqref="BH4:BH136">
    <cfRule type="cellIs" dxfId="73" priority="61" stopIfTrue="1" operator="equal">
      <formula>"Nope"</formula>
    </cfRule>
  </conditionalFormatting>
  <conditionalFormatting sqref="A4:BM136">
    <cfRule type="expression" dxfId="72" priority="1" stopIfTrue="1">
      <formula>ROW()-3=$C$1270</formula>
    </cfRule>
    <cfRule type="expression" dxfId="71" priority="56">
      <formula>$A4="OOP"</formula>
    </cfRule>
    <cfRule type="expression" dxfId="70" priority="57">
      <formula>ROUND(($A4-1)/12,0)=INT($A4-1)/12</formula>
    </cfRule>
  </conditionalFormatting>
  <conditionalFormatting sqref="A1:XFD3">
    <cfRule type="expression" dxfId="69"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516</v>
      </c>
      <c r="AJ1" s="177" t="s">
        <v>519</v>
      </c>
      <c r="AK1" s="499" t="s">
        <v>77</v>
      </c>
      <c r="AL1" s="499"/>
      <c r="AM1" s="497" t="s">
        <v>517</v>
      </c>
      <c r="AN1" s="497"/>
      <c r="AO1" s="497" t="s">
        <v>518</v>
      </c>
      <c r="AP1" s="497"/>
      <c r="AQ1" s="497" t="s">
        <v>515</v>
      </c>
      <c r="AR1" s="497"/>
      <c r="AS1" s="5"/>
      <c r="AT1" s="5"/>
      <c r="AU1" s="5"/>
      <c r="AV1" s="5" t="s">
        <v>514</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534</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1008</v>
      </c>
      <c r="E3" s="138" t="s">
        <v>775</v>
      </c>
      <c r="F3" s="138" t="s">
        <v>1</v>
      </c>
      <c r="G3" s="173" t="s">
        <v>245</v>
      </c>
      <c r="H3" s="138" t="s">
        <v>58</v>
      </c>
      <c r="I3" s="138" t="s">
        <v>247</v>
      </c>
      <c r="J3" s="138" t="s">
        <v>246</v>
      </c>
      <c r="K3" s="138" t="s">
        <v>60</v>
      </c>
      <c r="L3" s="138" t="s">
        <v>244</v>
      </c>
      <c r="M3" s="138" t="s">
        <v>62</v>
      </c>
      <c r="N3" s="138" t="s">
        <v>1052</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817</v>
      </c>
      <c r="AJ3" s="138" t="s">
        <v>818</v>
      </c>
      <c r="AK3" s="138" t="s">
        <v>2</v>
      </c>
      <c r="AL3" s="138" t="s">
        <v>7</v>
      </c>
      <c r="AM3" s="138" t="s">
        <v>813</v>
      </c>
      <c r="AN3" s="138" t="s">
        <v>814</v>
      </c>
      <c r="AO3" s="138" t="s">
        <v>815</v>
      </c>
      <c r="AP3" s="138" t="s">
        <v>816</v>
      </c>
      <c r="AQ3" s="138" t="s">
        <v>1040</v>
      </c>
      <c r="AR3" s="138" t="s">
        <v>1041</v>
      </c>
      <c r="AS3" s="138" t="s">
        <v>520</v>
      </c>
      <c r="AT3" s="138" t="s">
        <v>521</v>
      </c>
      <c r="AU3" s="138" t="s">
        <v>776</v>
      </c>
      <c r="AV3" s="138" t="s">
        <v>819</v>
      </c>
      <c r="AW3" s="138" t="s">
        <v>820</v>
      </c>
      <c r="AX3" s="138" t="s">
        <v>777</v>
      </c>
      <c r="AY3" s="173" t="s">
        <v>821</v>
      </c>
      <c r="AZ3" s="138" t="s">
        <v>822</v>
      </c>
      <c r="BA3" s="138" t="s">
        <v>823</v>
      </c>
      <c r="BB3" s="138" t="s">
        <v>824</v>
      </c>
      <c r="BC3" s="138" t="s">
        <v>825</v>
      </c>
      <c r="BD3" s="138" t="s">
        <v>826</v>
      </c>
      <c r="BE3" s="138" t="s">
        <v>827</v>
      </c>
      <c r="BF3" s="138" t="s">
        <v>828</v>
      </c>
      <c r="BG3" s="138" t="s">
        <v>829</v>
      </c>
      <c r="BH3" s="138" t="s">
        <v>830</v>
      </c>
      <c r="BI3" s="138" t="s">
        <v>831</v>
      </c>
      <c r="BJ3" s="138" t="s">
        <v>832</v>
      </c>
      <c r="BK3" s="138" t="s">
        <v>833</v>
      </c>
      <c r="BL3" s="138" t="s">
        <v>834</v>
      </c>
      <c r="BM3" s="138" t="s">
        <v>835</v>
      </c>
      <c r="BN3" s="138" t="s">
        <v>836</v>
      </c>
      <c r="BO3" s="138" t="s">
        <v>837</v>
      </c>
      <c r="BP3" s="138" t="s">
        <v>838</v>
      </c>
      <c r="BQ3" s="175" t="s">
        <v>839</v>
      </c>
      <c r="BR3" s="138" t="s">
        <v>792</v>
      </c>
      <c r="BS3" s="138" t="s">
        <v>793</v>
      </c>
      <c r="BT3" s="138" t="s">
        <v>884</v>
      </c>
      <c r="BU3" s="138" t="s">
        <v>862</v>
      </c>
      <c r="BV3" s="138" t="s">
        <v>794</v>
      </c>
      <c r="BW3" s="138" t="s">
        <v>1023</v>
      </c>
      <c r="BX3" s="138" t="s">
        <v>905</v>
      </c>
      <c r="BY3" s="138" t="s">
        <v>906</v>
      </c>
      <c r="BZ3" s="138" t="s">
        <v>907</v>
      </c>
      <c r="CA3" s="138" t="s">
        <v>908</v>
      </c>
      <c r="CB3" s="138" t="s">
        <v>909</v>
      </c>
      <c r="CC3" s="138" t="s">
        <v>910</v>
      </c>
      <c r="CD3" s="138" t="s">
        <v>911</v>
      </c>
      <c r="CE3" s="138" t="s">
        <v>912</v>
      </c>
      <c r="CF3" s="138" t="s">
        <v>913</v>
      </c>
      <c r="CG3" s="138" t="s">
        <v>914</v>
      </c>
      <c r="CH3" s="138" t="s">
        <v>915</v>
      </c>
      <c r="CI3" s="138" t="s">
        <v>916</v>
      </c>
      <c r="CJ3" s="138" t="s">
        <v>917</v>
      </c>
      <c r="CK3" s="138" t="s">
        <v>918</v>
      </c>
      <c r="CL3" s="138" t="s">
        <v>919</v>
      </c>
      <c r="CM3" s="138" t="s">
        <v>920</v>
      </c>
      <c r="CN3" s="138" t="s">
        <v>921</v>
      </c>
      <c r="CO3" s="138" t="s">
        <v>922</v>
      </c>
      <c r="CP3" s="138" t="s">
        <v>868</v>
      </c>
      <c r="CQ3" s="138" t="s">
        <v>805</v>
      </c>
      <c r="CR3" s="138" t="s">
        <v>806</v>
      </c>
      <c r="CS3" s="138" t="s">
        <v>807</v>
      </c>
      <c r="CT3" s="138" t="s">
        <v>808</v>
      </c>
      <c r="CU3" s="138" t="s">
        <v>809</v>
      </c>
      <c r="CV3" s="138" t="s">
        <v>810</v>
      </c>
      <c r="CW3" s="138" t="s">
        <v>811</v>
      </c>
      <c r="CX3" s="138" t="s">
        <v>259</v>
      </c>
      <c r="CY3" s="138" t="s">
        <v>869</v>
      </c>
      <c r="CZ3" s="138" t="s">
        <v>873</v>
      </c>
      <c r="DA3" s="138" t="s">
        <v>874</v>
      </c>
      <c r="DB3" s="138" t="s">
        <v>875</v>
      </c>
      <c r="DC3" s="138" t="s">
        <v>876</v>
      </c>
      <c r="DD3" s="138" t="s">
        <v>877</v>
      </c>
      <c r="DE3" s="138" t="s">
        <v>878</v>
      </c>
      <c r="DF3" s="138" t="s">
        <v>879</v>
      </c>
      <c r="DG3" s="138" t="s">
        <v>812</v>
      </c>
      <c r="DH3" s="138" t="s">
        <v>297</v>
      </c>
      <c r="DI3" s="138" t="s">
        <v>535</v>
      </c>
      <c r="DJ3" s="138" t="s">
        <v>536</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45305</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45305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45305.041666666664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45305.041666666664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45305.083333333328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45305.083333333328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45305.124999999993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45305.124999999993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45305.166666666657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45305.166666666657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45305.208333333321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45305.208333333321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45305.249999999985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45305.249999999985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45305.29166666665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45305.29166666665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45305.333333333314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45305.333333333314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45305.374999999978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45305.374999999978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45305.416666666642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45305.416666666642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45305.458333333307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45305.458333333307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45305.499999999971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45305.499999999971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45305.541666666635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45305.541666666635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45305.583333333299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45305.583333333299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45305.624999999964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45305.624999999964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45305.666666666628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45305.666666666628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45305.708333333292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45305.708333333292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45305.749999999956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45305.749999999956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45305.791666666621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45305.791666666621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45305.833333333285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45305.833333333285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45305.874999999949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45305.874999999949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45305.916666666613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45305.916666666613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45305.958333333278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45305.958333333278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45305.999999999942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45305.999999999942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45306.041666666606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45306.041666666606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45306.08333333327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45306.08333333327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45306.124999999935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45306.124999999935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45306.166666666599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45306.166666666599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45306.208333333263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45306.208333333263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45306.249999999927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45306.249999999927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45306.291666666591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45306.291666666591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45306.333333333256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45306.333333333256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45306.37499999992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45306.37499999992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45306.416666666584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45306.416666666584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45306.458333333248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45306.458333333248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45306.499999999913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45306.499999999913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45306.541666666577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45306.541666666577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45306.583333333241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45306.583333333241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45306.624999999905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45306.624999999905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45306.66666666657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45306.66666666657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45306.708333333234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45306.708333333234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45306.749999999898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45306.749999999898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45306.791666666562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45306.791666666562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45306.833333333227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45306.833333333227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45306.874999999891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45306.874999999891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45306.916666666555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45306.916666666555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45306.958333333219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45306.958333333219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45306.999999999884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45306.999999999884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45307.041666666548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45307.041666666548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45307.083333333212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45307.083333333212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45307.124999999876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45307.124999999876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45307.166666666541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45307.166666666541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45307.208333333205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45307.208333333205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45307.249999999869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45307.249999999869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45307.291666666533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45307.291666666533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45307.333333333198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45307.333333333198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45307.374999999862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45307.374999999862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45307.416666666526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45307.416666666526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45307.45833333319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45307.45833333319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45307.499999999854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45307.499999999854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45307.541666666519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45307.541666666519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45307.583333333183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45307.583333333183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45307.624999999847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45307.624999999847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45307.666666666511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45307.666666666511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45307.708333333176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45307.708333333176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45307.74999999984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45307.74999999984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45307.791666666504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45307.791666666504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45307.833333333168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45307.833333333168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45307.874999999833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45307.874999999833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45307.916666666497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45307.916666666497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45307.958333333161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45307.958333333161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45307.999999999825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45307.999999999825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45308.04166666649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45308.04166666649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45308.083333333154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45308.083333333154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45308.124999999818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45308.124999999818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45308.166666666482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45308.166666666482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45308.208333333147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45308.208333333147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45308.249999999811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45308.249999999811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45308.291666666475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45308.291666666475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45308.333333333139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45308.333333333139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45308.374999999804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45308.374999999804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45308.416666666468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45308.416666666468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45308.458333333132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45308.458333333132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45308.499999999796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45308.499999999796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45308.541666666461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45308.541666666461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45308.583333333125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45308.583333333125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45308.624999999789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45308.624999999789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45308.666666666453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45308.666666666453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45308.708333333117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45308.708333333117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45308.749999999782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45308.749999999782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45308.791666666446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45308.791666666446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45308.83333333311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45308.83333333311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45308.874999999774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45308.874999999774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45308.916666666439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45308.916666666439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45308.958333333103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45308.958333333103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45308.999999999767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45308.999999999767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45309.041666666431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45309.041666666431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45309.083333333096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45309.083333333096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45309.12499999976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45309.12499999976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45309.166666666424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45309.166666666424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45309.208333333088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45309.208333333088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45309.249999999753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45309.249999999753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45309.291666666417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45309.291666666417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45309.333333333081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45309.333333333081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45309.374999999745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45309.374999999745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45309.41666666641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45309.41666666641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45309.458333333074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45309.458333333074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45309.499999999738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45309.499999999738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45309.541666666402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45309.541666666402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45309.583333333067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45309.583333333067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45309.624999999731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45309.624999999731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45309.666666666395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45309.666666666395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45309.708333333059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45309.708333333059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45309.749999999724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45309.749999999724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45309.791666666388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45309.791666666388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45309.833333333052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45309.833333333052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45309.874999999716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45309.874999999716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45309.91666666638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45309.91666666638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45309.958333333045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45309.958333333045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45309.999999999709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45309.999999999709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45310.041666666373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45310.041666666373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45310.083333333037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45310.083333333037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45310.124999999702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45310.124999999702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45310.166666666366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45310.166666666366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45310.20833333303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45310.20833333303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45310.249999999694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45310.249999999694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45310.291666666359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45310.291666666359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45310.333333333023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45310.333333333023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45310.374999999687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45310.374999999687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45310.416666666351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45310.416666666351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45310.458333333016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45310.458333333016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45310.49999999968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45310.49999999968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4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68" priority="73" stopIfTrue="1">
      <formula>XEZ137&lt;0</formula>
    </cfRule>
  </conditionalFormatting>
  <conditionalFormatting sqref="A137:D1268 A1271:D65537 F1271:H65537 F137:H1268">
    <cfRule type="expression" dxfId="67" priority="74" stopIfTrue="1">
      <formula>XEV137&lt;0</formula>
    </cfRule>
  </conditionalFormatting>
  <conditionalFormatting sqref="E1271:E65537 E137:E1268">
    <cfRule type="expression" dxfId="66" priority="75" stopIfTrue="1">
      <formula>XEU137&lt;0</formula>
    </cfRule>
  </conditionalFormatting>
  <conditionalFormatting sqref="DI1271:DJ52023 O1271:AG52052 O137:AG1268 BV1271:DH52052 BV137:DJ1268">
    <cfRule type="expression" dxfId="65" priority="76" stopIfTrue="1">
      <formula>ROW()-2=#REF!</formula>
    </cfRule>
  </conditionalFormatting>
  <conditionalFormatting sqref="A1269:AG1270 BV1269:DJ1270">
    <cfRule type="expression" dxfId="64" priority="77" stopIfTrue="1">
      <formula>$A$1270&gt;144</formula>
    </cfRule>
  </conditionalFormatting>
  <conditionalFormatting sqref="K1271:L65537 K137:L1268">
    <cfRule type="expression" dxfId="63" priority="95" stopIfTrue="1">
      <formula>A137&lt;0</formula>
    </cfRule>
  </conditionalFormatting>
  <conditionalFormatting sqref="AY4:BQ136">
    <cfRule type="expression" dxfId="62" priority="7" stopIfTrue="1">
      <formula>OR(AY4&lt;0,ROW()-3=$A$1270)</formula>
    </cfRule>
  </conditionalFormatting>
  <conditionalFormatting sqref="I1271:J65537 I137:J1268">
    <cfRule type="expression" dxfId="61" priority="98" stopIfTrue="1">
      <formula>A137&lt;0</formula>
    </cfRule>
  </conditionalFormatting>
  <conditionalFormatting sqref="A4:DJ35 A36:O38 Q36:W38 A39:W39 Y36:DJ39 A40:DJ52 A60:DJ136 A53:Q59 S53:X59 Z53:DJ59">
    <cfRule type="expression" dxfId="60" priority="13" stopIfTrue="1">
      <formula>ROW()-3=$A$1270</formula>
    </cfRule>
    <cfRule type="expression" dxfId="59" priority="136">
      <formula>$A4=73</formula>
    </cfRule>
    <cfRule type="expression" dxfId="58" priority="137">
      <formula>ROUND(($A4-1)/12,0)=INT($A4-1)/12</formula>
    </cfRule>
  </conditionalFormatting>
  <conditionalFormatting sqref="A1:XFD3">
    <cfRule type="expression" dxfId="57" priority="138">
      <formula>$A$1270&lt;0</formula>
    </cfRule>
  </conditionalFormatting>
  <conditionalFormatting sqref="P36:P38">
    <cfRule type="expression" dxfId="56" priority="4" stopIfTrue="1">
      <formula>ROW()-3=$B$1270</formula>
    </cfRule>
  </conditionalFormatting>
  <conditionalFormatting sqref="P36:P38">
    <cfRule type="expression" dxfId="55" priority="5">
      <formula>$A36=73</formula>
    </cfRule>
    <cfRule type="expression" dxfId="54" priority="6">
      <formula>ROUND(($A36-1)/12,0)=INT($A36-1)/12</formula>
    </cfRule>
  </conditionalFormatting>
  <conditionalFormatting sqref="X36:X39">
    <cfRule type="expression" dxfId="53" priority="1" stopIfTrue="1">
      <formula>ROW()-3=$B$1270</formula>
    </cfRule>
  </conditionalFormatting>
  <conditionalFormatting sqref="X36:X39">
    <cfRule type="expression" dxfId="52" priority="2">
      <formula>$A36=73</formula>
    </cfRule>
    <cfRule type="expression" dxfId="5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302</v>
      </c>
      <c r="M1" s="449"/>
      <c r="N1" s="449"/>
      <c r="O1" s="449"/>
      <c r="P1" s="449"/>
      <c r="Q1" s="449"/>
      <c r="R1" s="28"/>
      <c r="S1" s="5" t="s">
        <v>356</v>
      </c>
      <c r="T1" s="5" t="s">
        <v>177</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775</v>
      </c>
      <c r="D3" s="138" t="s">
        <v>55</v>
      </c>
      <c r="E3" s="138" t="s">
        <v>58</v>
      </c>
      <c r="F3" s="138" t="s">
        <v>1031</v>
      </c>
      <c r="G3" s="138" t="s">
        <v>59</v>
      </c>
      <c r="H3" s="138" t="s">
        <v>60</v>
      </c>
      <c r="I3" s="138" t="s">
        <v>61</v>
      </c>
      <c r="J3" s="138" t="s">
        <v>62</v>
      </c>
      <c r="K3" s="222" t="s">
        <v>880</v>
      </c>
      <c r="L3" s="222" t="s">
        <v>881</v>
      </c>
      <c r="M3" s="222" t="s">
        <v>882</v>
      </c>
      <c r="N3" s="223" t="s">
        <v>185</v>
      </c>
      <c r="O3" s="223" t="s">
        <v>366</v>
      </c>
      <c r="P3" s="223" t="s">
        <v>365</v>
      </c>
      <c r="Q3" s="138" t="s">
        <v>884</v>
      </c>
      <c r="R3" s="138" t="s">
        <v>857</v>
      </c>
      <c r="S3" s="138" t="s">
        <v>885</v>
      </c>
      <c r="T3" s="138" t="s">
        <v>1024</v>
      </c>
      <c r="U3" s="138" t="s">
        <v>1025</v>
      </c>
      <c r="V3" s="138" t="s">
        <v>1026</v>
      </c>
      <c r="W3" s="138" t="s">
        <v>1027</v>
      </c>
      <c r="X3" s="138" t="s">
        <v>1028</v>
      </c>
      <c r="Y3" s="138" t="s">
        <v>1029</v>
      </c>
      <c r="Z3" s="138" t="s">
        <v>1030</v>
      </c>
      <c r="AA3" s="138" t="s">
        <v>312</v>
      </c>
      <c r="AB3" s="138" t="s">
        <v>24</v>
      </c>
      <c r="AC3" s="138" t="s">
        <v>2</v>
      </c>
      <c r="AD3" s="138" t="s">
        <v>776</v>
      </c>
      <c r="AE3" s="138" t="s">
        <v>511</v>
      </c>
      <c r="AF3" s="138" t="s">
        <v>57</v>
      </c>
      <c r="AG3" s="138" t="s">
        <v>179</v>
      </c>
      <c r="AH3" s="138" t="s">
        <v>883</v>
      </c>
      <c r="AI3" s="138" t="s">
        <v>870</v>
      </c>
      <c r="AJ3" s="224" t="s">
        <v>763</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45305</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45305.041666666664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45305.083333333328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45305.124999999993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45305.166666666657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45305.208333333321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45305.249999999985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45305.29166666665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45305.333333333314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45305.374999999978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45305.416666666642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45305.458333333307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45305.499999999971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45305.541666666635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45305.583333333299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45305.624999999964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45305.666666666628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45305.708333333292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45305.749999999956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45305.791666666621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45305.833333333285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45305.874999999949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45305.916666666613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45305.958333333278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45305.999999999942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45306.041666666606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45306.08333333327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45306.124999999935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45306.166666666599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45306.208333333263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45306.249999999927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45306.291666666591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45306.333333333256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45306.37499999992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45306.416666666584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45306.458333333248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45306.499999999913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45306.541666666577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45306.583333333241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45306.624999999905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45306.66666666657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45306.708333333234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45306.749999999898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45306.791666666562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45306.833333333227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45306.874999999891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45306.916666666555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45306.958333333219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45306.999999999884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45307.041666666548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1050</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45307.083333333212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45307.124999999876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45307.166666666541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45307.208333333205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45307.249999999869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45307.291666666533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45307.333333333198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45307.374999999862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45307.416666666526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45307.45833333319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45307.499999999854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45307.541666666519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45307.583333333183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45307.624999999847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45307.666666666511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45307.708333333176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45307.74999999984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45307.791666666504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45307.833333333168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45307.874999999833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45307.916666666497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45307.958333333161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45307.999999999825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45308.04166666649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45308.083333333154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45308.124999999818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45308.166666666482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45308.208333333147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45308.249999999811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45308.291666666475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45308.333333333139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45308.374999999804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45308.416666666468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45308.458333333132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45308.499999999796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45308.541666666461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45308.583333333125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45308.624999999789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45308.666666666453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45308.708333333117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45308.749999999782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45308.791666666446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45308.83333333311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45308.874999999774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45308.916666666439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45308.958333333103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45308.999999999767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45309.041666666431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45309.083333333096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45309.12499999976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45309.166666666424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45309.208333333088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45309.249999999753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45309.291666666417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45309.333333333081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45309.374999999745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45309.41666666641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45309.458333333074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45309.499999999738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45309.541666666402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45309.583333333067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45309.624999999731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45309.666666666395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45309.708333333059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45309.749999999724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45309.791666666388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45309.833333333052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45309.874999999716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45309.91666666638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45309.958333333045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45309.999999999709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45310.041666666373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45310.083333333037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45310.124999999702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45310.166666666366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45310.20833333303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45310.249999999694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45310.291666666359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45310.333333333023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45310.374999999687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45310.416666666351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45310.458333333016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45310.49999999968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50" priority="19" stopIfTrue="1">
      <formula>$M26&lt;$M17</formula>
    </cfRule>
    <cfRule type="expression" dxfId="49" priority="20" stopIfTrue="1">
      <formula>$M17&lt;$M26</formula>
    </cfRule>
  </conditionalFormatting>
  <conditionalFormatting sqref="C1270 D1269:AJ1270 A1269:B1270">
    <cfRule type="expression" dxfId="48" priority="17" stopIfTrue="1">
      <formula>$B$1270&gt;144</formula>
    </cfRule>
  </conditionalFormatting>
  <conditionalFormatting sqref="A4:J136 N4:AJ12 N49:AJ136 N41:S48 U41:AJ48 N16:AJ23 N13:V15 X13:AJ15 N27:AJ40 N24:V26 X24:AJ26">
    <cfRule type="expression" dxfId="47" priority="7" stopIfTrue="1">
      <formula>ROW()-3=$B$1270</formula>
    </cfRule>
  </conditionalFormatting>
  <conditionalFormatting sqref="D4:J136">
    <cfRule type="expression" dxfId="46" priority="8" stopIfTrue="1">
      <formula>OR(ROW()-3=$B$1270,D4&lt;0)</formula>
    </cfRule>
  </conditionalFormatting>
  <conditionalFormatting sqref="A1:XFD3">
    <cfRule type="expression" dxfId="45" priority="22" stopIfTrue="1">
      <formula>$B$1270&lt;0</formula>
    </cfRule>
  </conditionalFormatting>
  <conditionalFormatting sqref="A4:AJ12 A49:AJ136 A41:S48 U41:AJ48 A16:AJ23 A13:V15 X13:AJ15 A27:AJ40 A24:V26 X24:AJ26">
    <cfRule type="expression" dxfId="44" priority="9">
      <formula>$A4=73</formula>
    </cfRule>
    <cfRule type="expression" dxfId="43" priority="16">
      <formula>ROUND(($A4-1)/12,0)=INT($A4-1)/12</formula>
    </cfRule>
  </conditionalFormatting>
  <conditionalFormatting sqref="W13:W15">
    <cfRule type="expression" dxfId="42" priority="4" stopIfTrue="1">
      <formula>ROW()-3=$A$1270</formula>
    </cfRule>
    <cfRule type="expression" dxfId="41" priority="5">
      <formula>$A13=73</formula>
    </cfRule>
    <cfRule type="expression" dxfId="40" priority="6">
      <formula>ROUND(($A13-1)/12,0)=INT($A13-1)/12</formula>
    </cfRule>
  </conditionalFormatting>
  <conditionalFormatting sqref="W24:W26">
    <cfRule type="expression" dxfId="39" priority="1" stopIfTrue="1">
      <formula>ROW()-3=$B$1270</formula>
    </cfRule>
  </conditionalFormatting>
  <conditionalFormatting sqref="W24:W26">
    <cfRule type="expression" dxfId="38" priority="2">
      <formula>$A24=73</formula>
    </cfRule>
    <cfRule type="expression" dxfId="37"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775</v>
      </c>
      <c r="J3" s="138" t="s">
        <v>0</v>
      </c>
      <c r="K3" s="138" t="s">
        <v>312</v>
      </c>
      <c r="L3" s="138" t="s">
        <v>1032</v>
      </c>
      <c r="M3" s="138" t="s">
        <v>1033</v>
      </c>
      <c r="N3" s="138" t="s">
        <v>1034</v>
      </c>
      <c r="O3" s="138" t="s">
        <v>1035</v>
      </c>
      <c r="P3" s="138" t="s">
        <v>1036</v>
      </c>
      <c r="Q3" s="138" t="s">
        <v>1037</v>
      </c>
      <c r="R3" s="138" t="s">
        <v>1038</v>
      </c>
      <c r="S3" s="138" t="s">
        <v>303</v>
      </c>
      <c r="T3" s="138" t="s">
        <v>195</v>
      </c>
      <c r="U3" s="138" t="s">
        <v>776</v>
      </c>
      <c r="V3" s="138" t="s">
        <v>2</v>
      </c>
      <c r="W3" s="138" t="s">
        <v>777</v>
      </c>
      <c r="X3" s="138" t="s">
        <v>57</v>
      </c>
      <c r="Y3" s="138" t="s">
        <v>904</v>
      </c>
      <c r="Z3" s="138" t="s">
        <v>792</v>
      </c>
      <c r="AA3" s="138" t="s">
        <v>261</v>
      </c>
      <c r="AB3" s="138" t="s">
        <v>793</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45305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45305.041666666664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45305.083333333328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45305.124999999993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45305.166666666657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45305.208333333321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45305.249999999985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45305.29166666665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45305.333333333314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45305.374999999978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45305.416666666642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45305.458333333307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45305.499999999971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45305.541666666635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45305.583333333299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45305.624999999964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45305.666666666628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45305.708333333292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45305.749999999956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45305.791666666621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45305.833333333285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45305.874999999949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45305.916666666613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45305.958333333278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45305.999999999942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45306.041666666606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45306.08333333327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45306.124999999935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45306.166666666599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45306.208333333263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45306.249999999927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45306.291666666591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45306.333333333256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45306.37499999992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45306.416666666584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45306.458333333248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45306.499999999913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45306.541666666577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45306.583333333241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45306.624999999905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45306.66666666657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45306.708333333234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45306.749999999898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45306.791666666562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45306.833333333227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45306.874999999891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45306.916666666555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45306.958333333219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45306.999999999884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45307.041666666548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45307.083333333212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45307.124999999876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45307.166666666541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45307.208333333205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45307.249999999869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45307.291666666533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45307.333333333198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45307.374999999862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45307.416666666526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45307.45833333319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45307.499999999854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45307.541666666519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45307.583333333183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45307.624999999847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45307.666666666511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45307.708333333176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45307.74999999984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45307.791666666504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45307.833333333168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45307.874999999833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45307.916666666497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45307.958333333161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45307.999999999825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45308.04166666649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45308.083333333154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45308.124999999818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45308.166666666482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45308.208333333147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45308.249999999811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45308.291666666475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45308.333333333139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45308.374999999804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45308.416666666468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45308.458333333132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45308.499999999796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45308.541666666461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45308.583333333125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45308.624999999789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45308.666666666453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45308.708333333117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45308.749999999782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45308.791666666446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45308.83333333311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45308.874999999774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45308.916666666439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45308.958333333103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45308.999999999767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45309.041666666431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45309.083333333096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45309.12499999976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45309.166666666424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45309.208333333088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45309.249999999753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45309.291666666417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45309.333333333081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45309.374999999745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45309.41666666641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45309.458333333074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45309.499999999738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45309.541666666402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45309.583333333067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45309.624999999731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45309.666666666395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45309.708333333059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45309.749999999724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45309.791666666388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45309.833333333052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45309.874999999716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45309.91666666638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45309.958333333045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45309.999999999709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45310.041666666373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45310.083333333037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45310.124999999702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45310.166666666366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45310.20833333303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45310.249999999694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45310.291666666359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45310.333333333023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45310.374999999687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45310.416666666351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45310.458333333016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45310.49999999968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36" priority="14" stopIfTrue="1">
      <formula>ROW()-2=#REF!</formula>
    </cfRule>
  </conditionalFormatting>
  <conditionalFormatting sqref="A1269:AC1270">
    <cfRule type="expression" dxfId="35" priority="15" stopIfTrue="1">
      <formula>$A$1270&gt;144</formula>
    </cfRule>
  </conditionalFormatting>
  <conditionalFormatting sqref="A1:AC3">
    <cfRule type="expression" dxfId="34" priority="19" stopIfTrue="1">
      <formula>$A$1270&lt;0</formula>
    </cfRule>
  </conditionalFormatting>
  <conditionalFormatting sqref="A4:AC136">
    <cfRule type="expression" dxfId="33" priority="1" stopIfTrue="1">
      <formula>ROW()-3=$A$1270</formula>
    </cfRule>
    <cfRule type="expression" dxfId="32" priority="2" stopIfTrue="1">
      <formula>OR(AND(ROW()-3=$A$1270,A4="Ok",XFD4&lt;&gt;0),A4="Nope")</formula>
    </cfRule>
    <cfRule type="expression" dxfId="31" priority="4">
      <formula>$J4=73</formula>
    </cfRule>
    <cfRule type="expression" dxfId="30" priority="7">
      <formula>ROUND(($J4-1)/12,0)=INT($J4-1)/12</formula>
    </cfRule>
  </conditionalFormatting>
  <conditionalFormatting sqref="T76">
    <cfRule type="expression" dxfId="29" priority="13" stopIfTrue="1">
      <formula>S76=0</formula>
    </cfRule>
  </conditionalFormatting>
  <conditionalFormatting sqref="B4:H136">
    <cfRule type="cellIs" dxfId="28"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topLeftCell="M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475</v>
      </c>
      <c r="T1" s="497"/>
      <c r="U1" s="176"/>
      <c r="V1" s="497" t="s">
        <v>476</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491</v>
      </c>
      <c r="BJ1" s="497"/>
      <c r="BK1" s="497"/>
      <c r="BL1" s="497"/>
      <c r="BM1" s="497"/>
      <c r="BN1" s="497"/>
      <c r="BO1" s="497"/>
      <c r="BP1" s="497"/>
      <c r="BQ1" s="498"/>
      <c r="BR1" s="498"/>
      <c r="BS1" s="498"/>
      <c r="BT1" s="498"/>
      <c r="BU1" s="5"/>
      <c r="BV1" s="499" t="s">
        <v>299</v>
      </c>
      <c r="BW1" s="449"/>
      <c r="BX1" s="449"/>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1095</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1095</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1095</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775</v>
      </c>
      <c r="E3" s="138" t="s">
        <v>771</v>
      </c>
      <c r="F3" s="138" t="s">
        <v>772</v>
      </c>
      <c r="G3" s="138" t="s">
        <v>773</v>
      </c>
      <c r="H3" s="138" t="s">
        <v>774</v>
      </c>
      <c r="I3" s="138" t="s">
        <v>25</v>
      </c>
      <c r="J3" s="138" t="s">
        <v>1095</v>
      </c>
      <c r="K3" s="138" t="s">
        <v>26</v>
      </c>
      <c r="L3" s="138" t="s">
        <v>27</v>
      </c>
      <c r="M3" s="138" t="s">
        <v>776</v>
      </c>
      <c r="N3" s="138" t="s">
        <v>232</v>
      </c>
      <c r="O3" s="138" t="s">
        <v>777</v>
      </c>
      <c r="P3" s="138" t="s">
        <v>190</v>
      </c>
      <c r="Q3" s="138" t="s">
        <v>802</v>
      </c>
      <c r="R3" s="138" t="s">
        <v>229</v>
      </c>
      <c r="S3" s="258" t="s">
        <v>477</v>
      </c>
      <c r="T3" s="138" t="s">
        <v>474</v>
      </c>
      <c r="U3" s="138" t="s">
        <v>803</v>
      </c>
      <c r="V3" s="259" t="s">
        <v>871</v>
      </c>
      <c r="W3" s="138" t="s">
        <v>872</v>
      </c>
      <c r="X3" s="138" t="s">
        <v>1</v>
      </c>
      <c r="Y3" s="138" t="s">
        <v>181</v>
      </c>
      <c r="Z3" s="138" t="s">
        <v>180</v>
      </c>
      <c r="AA3" s="138" t="s">
        <v>24</v>
      </c>
      <c r="AB3" s="138" t="s">
        <v>792</v>
      </c>
      <c r="AC3" s="138" t="s">
        <v>185</v>
      </c>
      <c r="AD3" s="138" t="s">
        <v>793</v>
      </c>
      <c r="AE3" s="138" t="s">
        <v>857</v>
      </c>
      <c r="AF3" s="138" t="s">
        <v>312</v>
      </c>
      <c r="AG3" s="138" t="s">
        <v>786</v>
      </c>
      <c r="AH3" s="138" t="s">
        <v>787</v>
      </c>
      <c r="AI3" s="138" t="s">
        <v>788</v>
      </c>
      <c r="AJ3" s="138" t="s">
        <v>789</v>
      </c>
      <c r="AK3" s="138" t="s">
        <v>790</v>
      </c>
      <c r="AL3" s="138" t="s">
        <v>1094</v>
      </c>
      <c r="AM3" s="138" t="s">
        <v>791</v>
      </c>
      <c r="AN3" s="138" t="s">
        <v>1093</v>
      </c>
      <c r="AO3" s="138" t="s">
        <v>794</v>
      </c>
      <c r="AP3" s="138" t="s">
        <v>2</v>
      </c>
      <c r="AQ3" s="258" t="s">
        <v>1013</v>
      </c>
      <c r="AR3" s="138" t="s">
        <v>804</v>
      </c>
      <c r="AS3" s="258" t="s">
        <v>1014</v>
      </c>
      <c r="AT3" s="138" t="s">
        <v>1051</v>
      </c>
      <c r="AU3" s="138" t="s">
        <v>1053</v>
      </c>
      <c r="AV3" s="138" t="s">
        <v>779</v>
      </c>
      <c r="AW3" s="138" t="s">
        <v>795</v>
      </c>
      <c r="AX3" s="138" t="s">
        <v>796</v>
      </c>
      <c r="AY3" s="138" t="s">
        <v>797</v>
      </c>
      <c r="AZ3" s="138" t="s">
        <v>798</v>
      </c>
      <c r="BA3" s="138" t="s">
        <v>799</v>
      </c>
      <c r="BB3" s="138" t="s">
        <v>800</v>
      </c>
      <c r="BC3" s="138" t="s">
        <v>1096</v>
      </c>
      <c r="BD3" s="138" t="s">
        <v>801</v>
      </c>
      <c r="BE3" s="138" t="s">
        <v>1097</v>
      </c>
      <c r="BF3" s="138" t="s">
        <v>780</v>
      </c>
      <c r="BG3" s="138" t="s">
        <v>233</v>
      </c>
      <c r="BH3" s="138" t="s">
        <v>355</v>
      </c>
      <c r="BI3" s="138" t="s">
        <v>492</v>
      </c>
      <c r="BJ3" s="138" t="s">
        <v>493</v>
      </c>
      <c r="BK3" s="138" t="s">
        <v>494</v>
      </c>
      <c r="BL3" s="138" t="s">
        <v>495</v>
      </c>
      <c r="BM3" s="138" t="s">
        <v>496</v>
      </c>
      <c r="BN3" s="138" t="s">
        <v>497</v>
      </c>
      <c r="BO3" s="138" t="s">
        <v>498</v>
      </c>
      <c r="BP3" s="138" t="s">
        <v>499</v>
      </c>
      <c r="BQ3" s="138" t="s">
        <v>900</v>
      </c>
      <c r="BR3" s="138" t="s">
        <v>1098</v>
      </c>
      <c r="BS3" s="138" t="s">
        <v>901</v>
      </c>
      <c r="BT3" s="138" t="s">
        <v>902</v>
      </c>
      <c r="BU3" s="138" t="s">
        <v>903</v>
      </c>
      <c r="BV3" s="138" t="s">
        <v>246</v>
      </c>
      <c r="BW3" s="138" t="s">
        <v>298</v>
      </c>
      <c r="BX3" s="138" t="s">
        <v>125</v>
      </c>
      <c r="BY3" s="138" t="s">
        <v>1016</v>
      </c>
      <c r="BZ3" s="138" t="s">
        <v>1015</v>
      </c>
      <c r="CA3" s="138" t="s">
        <v>140</v>
      </c>
      <c r="CB3" s="138" t="s">
        <v>133</v>
      </c>
      <c r="CC3" s="138" t="s">
        <v>1077</v>
      </c>
      <c r="CD3" s="138" t="s">
        <v>1081</v>
      </c>
      <c r="CE3" s="138" t="s">
        <v>329</v>
      </c>
      <c r="CF3" s="138" t="s">
        <v>330</v>
      </c>
      <c r="CG3" s="138" t="s">
        <v>334</v>
      </c>
      <c r="CH3" s="138" t="s">
        <v>335</v>
      </c>
      <c r="CI3" s="138" t="s">
        <v>144</v>
      </c>
      <c r="CJ3" s="138" t="s">
        <v>501</v>
      </c>
      <c r="CK3" s="260" t="s">
        <v>781</v>
      </c>
      <c r="CL3" s="260" t="s">
        <v>782</v>
      </c>
      <c r="CM3" s="260" t="s">
        <v>783</v>
      </c>
      <c r="CN3" s="138" t="s">
        <v>1017</v>
      </c>
      <c r="CO3" s="138" t="s">
        <v>886</v>
      </c>
      <c r="CP3" s="138" t="s">
        <v>887</v>
      </c>
      <c r="CQ3" s="138" t="s">
        <v>888</v>
      </c>
      <c r="CR3" s="138" t="s">
        <v>889</v>
      </c>
      <c r="CS3" s="138" t="s">
        <v>890</v>
      </c>
      <c r="CT3" s="138" t="s">
        <v>891</v>
      </c>
      <c r="CU3" s="138" t="s">
        <v>892</v>
      </c>
      <c r="CV3" s="138" t="s">
        <v>893</v>
      </c>
      <c r="CW3" s="138" t="s">
        <v>894</v>
      </c>
      <c r="CX3" s="138" t="s">
        <v>895</v>
      </c>
      <c r="CY3" s="138" t="s">
        <v>896</v>
      </c>
      <c r="CZ3" s="260" t="s">
        <v>784</v>
      </c>
      <c r="DA3" s="138" t="s">
        <v>1088</v>
      </c>
      <c r="DB3" s="260" t="s">
        <v>785</v>
      </c>
      <c r="DC3" s="138" t="s">
        <v>897</v>
      </c>
      <c r="DD3" s="138" t="s">
        <v>1054</v>
      </c>
      <c r="DE3" s="138" t="s">
        <v>898</v>
      </c>
      <c r="DF3" s="138" t="s">
        <v>899</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45305</v>
      </c>
      <c r="AG4" s="182"/>
      <c r="AH4" s="182"/>
      <c r="AI4" s="182"/>
      <c r="AJ4" s="182"/>
      <c r="AK4" s="182"/>
      <c r="AL4" s="182"/>
      <c r="AM4" s="182"/>
      <c r="AN4" s="182"/>
      <c r="AO4" s="145"/>
      <c r="AP4" s="97">
        <f ca="1">TblProd[[#This Row],[Platinum]]</f>
        <v>120000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45305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1240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45305.041666666664</v>
      </c>
      <c r="AG5" s="182"/>
      <c r="AH5" s="182"/>
      <c r="AI5" s="182"/>
      <c r="AJ5" s="182"/>
      <c r="AK5" s="182"/>
      <c r="AL5" s="182"/>
      <c r="AM5" s="182"/>
      <c r="AN5" s="182"/>
      <c r="AO5" s="145"/>
      <c r="AP5" s="97">
        <f ca="1">TblProd[[#This Row],[Platinum]]</f>
        <v>124860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45305.041666666664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1240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45305.083333333328</v>
      </c>
      <c r="AG6" s="182"/>
      <c r="AH6" s="182"/>
      <c r="AI6" s="182"/>
      <c r="AJ6" s="182"/>
      <c r="AK6" s="182"/>
      <c r="AL6" s="182"/>
      <c r="AM6" s="182"/>
      <c r="AN6" s="182"/>
      <c r="AO6" s="145"/>
      <c r="AP6" s="97">
        <f ca="1">TblProd[[#This Row],[Platinum]]</f>
        <v>129790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45305.083333333328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1240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45305.124999999993</v>
      </c>
      <c r="AG7" s="182"/>
      <c r="AH7" s="182"/>
      <c r="AI7" s="182"/>
      <c r="AJ7" s="182"/>
      <c r="AK7" s="182"/>
      <c r="AL7" s="182"/>
      <c r="AM7" s="182"/>
      <c r="AN7" s="182"/>
      <c r="AO7" s="145"/>
      <c r="AP7" s="97">
        <f ca="1">TblProd[[#This Row],[Platinum]]</f>
        <v>134790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45305.124999999993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1240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45305.166666666657</v>
      </c>
      <c r="AG8" s="182"/>
      <c r="AH8" s="182"/>
      <c r="AI8" s="182"/>
      <c r="AJ8" s="182"/>
      <c r="AK8" s="182"/>
      <c r="AL8" s="182"/>
      <c r="AM8" s="182"/>
      <c r="AN8" s="182"/>
      <c r="AO8" s="145"/>
      <c r="AP8" s="97">
        <f ca="1">TblProd[[#This Row],[Platinum]]</f>
        <v>139860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45305.166666666657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1240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45305.208333333321</v>
      </c>
      <c r="AG9" s="182"/>
      <c r="AH9" s="182"/>
      <c r="AI9" s="182"/>
      <c r="AJ9" s="182"/>
      <c r="AK9" s="182"/>
      <c r="AL9" s="182"/>
      <c r="AM9" s="182"/>
      <c r="AN9" s="182"/>
      <c r="AO9" s="145"/>
      <c r="AP9" s="97">
        <f ca="1">TblProd[[#This Row],[Platinum]]</f>
        <v>145003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45305.208333333321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1240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45305.249999999985</v>
      </c>
      <c r="AG10" s="182"/>
      <c r="AH10" s="182"/>
      <c r="AI10" s="182"/>
      <c r="AJ10" s="182"/>
      <c r="AK10" s="182"/>
      <c r="AL10" s="182"/>
      <c r="AM10" s="182"/>
      <c r="AN10" s="182"/>
      <c r="AO10" s="145"/>
      <c r="AP10" s="97">
        <f ca="1">TblProd[[#This Row],[Platinum]]</f>
        <v>150222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45305.249999999985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1240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45305.29166666665</v>
      </c>
      <c r="AG11" s="182"/>
      <c r="AH11" s="182"/>
      <c r="AI11" s="182"/>
      <c r="AJ11" s="182"/>
      <c r="AK11" s="182"/>
      <c r="AL11" s="182"/>
      <c r="AM11" s="182"/>
      <c r="AN11" s="182"/>
      <c r="AO11" s="145"/>
      <c r="AP11" s="97">
        <f ca="1">TblProd[[#This Row],[Platinum]]</f>
        <v>155519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45305.29166666665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1240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45305.333333333314</v>
      </c>
      <c r="AG12" s="182"/>
      <c r="AH12" s="182"/>
      <c r="AI12" s="182"/>
      <c r="AJ12" s="182"/>
      <c r="AK12" s="182"/>
      <c r="AL12" s="182"/>
      <c r="AM12" s="182"/>
      <c r="AN12" s="182"/>
      <c r="AO12" s="145"/>
      <c r="AP12" s="97">
        <f ca="1">TblProd[[#This Row],[Platinum]]</f>
        <v>160892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45305.333333333314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1240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501</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45305.374999999978</v>
      </c>
      <c r="AG13" s="182"/>
      <c r="AH13" s="182"/>
      <c r="AI13" s="182"/>
      <c r="AJ13" s="182"/>
      <c r="AK13" s="182"/>
      <c r="AL13" s="182"/>
      <c r="AM13" s="182"/>
      <c r="AN13" s="182"/>
      <c r="AO13" s="145"/>
      <c r="AP13" s="97">
        <f ca="1">TblProd[[#This Row],[Platinum]]</f>
        <v>166343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45305.374999999978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1240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45305.416666666642</v>
      </c>
      <c r="AG14" s="182"/>
      <c r="AH14" s="182"/>
      <c r="AI14" s="182"/>
      <c r="AJ14" s="182"/>
      <c r="AK14" s="182"/>
      <c r="AL14" s="182"/>
      <c r="AM14" s="182"/>
      <c r="AN14" s="182"/>
      <c r="AO14" s="145"/>
      <c r="AP14" s="97">
        <f ca="1">TblProd[[#This Row],[Platinum]]</f>
        <v>171875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45305.416666666642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1240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45305.458333333307</v>
      </c>
      <c r="AG15" s="182"/>
      <c r="AH15" s="182"/>
      <c r="AI15" s="182"/>
      <c r="AJ15" s="182"/>
      <c r="AK15" s="182"/>
      <c r="AL15" s="182"/>
      <c r="AM15" s="182"/>
      <c r="AN15" s="182"/>
      <c r="AO15" s="145"/>
      <c r="AP15" s="97">
        <f ca="1">TblProd[[#This Row],[Platinum]]</f>
        <v>177491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45305.458333333307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1240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45305.499999999971</v>
      </c>
      <c r="AG16" s="182"/>
      <c r="AH16" s="182"/>
      <c r="AI16" s="182"/>
      <c r="AJ16" s="182"/>
      <c r="AK16" s="182"/>
      <c r="AL16" s="182"/>
      <c r="AM16" s="182"/>
      <c r="AN16" s="182"/>
      <c r="AO16" s="145"/>
      <c r="AP16" s="97">
        <f ca="1">TblProd[[#This Row],[Platinum]]</f>
        <v>183161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45305.499999999971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1240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45305.541666666635</v>
      </c>
      <c r="AG17" s="182"/>
      <c r="AH17" s="182"/>
      <c r="AI17" s="182"/>
      <c r="AJ17" s="182"/>
      <c r="AK17" s="182"/>
      <c r="AL17" s="182"/>
      <c r="AM17" s="182"/>
      <c r="AN17" s="182"/>
      <c r="AO17" s="145"/>
      <c r="AP17" s="97">
        <f ca="1">TblProd[[#This Row],[Platinum]]</f>
        <v>188831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45305.541666666635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1240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522</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45305.583333333299</v>
      </c>
      <c r="AG18" s="182"/>
      <c r="AH18" s="182"/>
      <c r="AI18" s="182"/>
      <c r="AJ18" s="182"/>
      <c r="AK18" s="182"/>
      <c r="AL18" s="182"/>
      <c r="AM18" s="182"/>
      <c r="AN18" s="182"/>
      <c r="AO18" s="145"/>
      <c r="AP18" s="97">
        <f ca="1">TblProd[[#This Row],[Platinum]]</f>
        <v>194501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45305.583333333299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1240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523</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45305.624999999964</v>
      </c>
      <c r="AG19" s="182"/>
      <c r="AH19" s="182"/>
      <c r="AI19" s="182"/>
      <c r="AJ19" s="182"/>
      <c r="AK19" s="182"/>
      <c r="AL19" s="182"/>
      <c r="AM19" s="182"/>
      <c r="AN19" s="182"/>
      <c r="AO19" s="145"/>
      <c r="AP19" s="97">
        <f ca="1">TblProd[[#This Row],[Platinum]]</f>
        <v>200171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45305.624999999964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1240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524</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45305.666666666628</v>
      </c>
      <c r="AG20" s="182"/>
      <c r="AH20" s="182"/>
      <c r="AI20" s="182"/>
      <c r="AJ20" s="182"/>
      <c r="AK20" s="182"/>
      <c r="AL20" s="182"/>
      <c r="AM20" s="182"/>
      <c r="AN20" s="182"/>
      <c r="AO20" s="145"/>
      <c r="AP20" s="97">
        <f ca="1">TblProd[[#This Row],[Platinum]]</f>
        <v>205841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45305.666666666628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1240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526</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45305.708333333292</v>
      </c>
      <c r="AG21" s="182"/>
      <c r="AH21" s="182"/>
      <c r="AI21" s="182"/>
      <c r="AJ21" s="182"/>
      <c r="AK21" s="182"/>
      <c r="AL21" s="182"/>
      <c r="AM21" s="182"/>
      <c r="AN21" s="182"/>
      <c r="AO21" s="145"/>
      <c r="AP21" s="97">
        <f ca="1">TblProd[[#This Row],[Platinum]]</f>
        <v>211511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45305.708333333292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1240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525</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45305.749999999956</v>
      </c>
      <c r="AG22" s="182"/>
      <c r="AH22" s="182"/>
      <c r="AI22" s="182"/>
      <c r="AJ22" s="182"/>
      <c r="AK22" s="182"/>
      <c r="AL22" s="182"/>
      <c r="AM22" s="182"/>
      <c r="AN22" s="182"/>
      <c r="AO22" s="145"/>
      <c r="AP22" s="97">
        <f ca="1">TblProd[[#This Row],[Platinum]]</f>
        <v>217181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45305.749999999956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1240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45305.791666666621</v>
      </c>
      <c r="AG23" s="182"/>
      <c r="AH23" s="182"/>
      <c r="AI23" s="182"/>
      <c r="AJ23" s="182"/>
      <c r="AK23" s="182"/>
      <c r="AL23" s="182"/>
      <c r="AM23" s="182"/>
      <c r="AN23" s="182"/>
      <c r="AO23" s="145"/>
      <c r="AP23" s="97">
        <f ca="1">TblProd[[#This Row],[Platinum]]</f>
        <v>222851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45305.791666666621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1240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45305.833333333285</v>
      </c>
      <c r="AG24" s="182"/>
      <c r="AH24" s="182"/>
      <c r="AI24" s="182"/>
      <c r="AJ24" s="182"/>
      <c r="AK24" s="182"/>
      <c r="AL24" s="182"/>
      <c r="AM24" s="182"/>
      <c r="AN24" s="182"/>
      <c r="AO24" s="145"/>
      <c r="AP24" s="97">
        <f ca="1">TblProd[[#This Row],[Platinum]]</f>
        <v>228521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45305.833333333285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1240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45305.874999999949</v>
      </c>
      <c r="AG25" s="182"/>
      <c r="AH25" s="182"/>
      <c r="AI25" s="182"/>
      <c r="AJ25" s="182"/>
      <c r="AK25" s="182"/>
      <c r="AL25" s="182"/>
      <c r="AM25" s="182"/>
      <c r="AN25" s="182"/>
      <c r="AO25" s="145"/>
      <c r="AP25" s="97">
        <f ca="1">TblProd[[#This Row],[Platinum]]</f>
        <v>234191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45305.874999999949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1240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45305.916666666613</v>
      </c>
      <c r="AG26" s="182"/>
      <c r="AH26" s="182"/>
      <c r="AI26" s="182"/>
      <c r="AJ26" s="182"/>
      <c r="AK26" s="182"/>
      <c r="AL26" s="182"/>
      <c r="AM26" s="182"/>
      <c r="AN26" s="182"/>
      <c r="AO26" s="145"/>
      <c r="AP26" s="97">
        <f ca="1">TblProd[[#This Row],[Platinum]]</f>
        <v>239861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45305.916666666613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1240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45305.958333333278</v>
      </c>
      <c r="AG27" s="182"/>
      <c r="AH27" s="182"/>
      <c r="AI27" s="182"/>
      <c r="AJ27" s="182"/>
      <c r="AK27" s="182"/>
      <c r="AL27" s="182"/>
      <c r="AM27" s="182"/>
      <c r="AN27" s="182"/>
      <c r="AO27" s="145"/>
      <c r="AP27" s="97">
        <f ca="1">TblProd[[#This Row],[Platinum]]</f>
        <v>245531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45305.958333333278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1240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45305.999999999942</v>
      </c>
      <c r="AG28" s="182"/>
      <c r="AH28" s="182"/>
      <c r="AI28" s="182"/>
      <c r="AJ28" s="182"/>
      <c r="AK28" s="182"/>
      <c r="AL28" s="182"/>
      <c r="AM28" s="182"/>
      <c r="AN28" s="182"/>
      <c r="AO28" s="145"/>
      <c r="AP28" s="97">
        <f ca="1">TblProd[[#This Row],[Platinum]]</f>
        <v>251201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45305.999999999942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1240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45306.041666666606</v>
      </c>
      <c r="AG29" s="182"/>
      <c r="AH29" s="182"/>
      <c r="AI29" s="182"/>
      <c r="AJ29" s="182"/>
      <c r="AK29" s="182"/>
      <c r="AL29" s="182"/>
      <c r="AM29" s="182"/>
      <c r="AN29" s="182"/>
      <c r="AO29" s="145"/>
      <c r="AP29" s="97">
        <f ca="1">TblProd[[#This Row],[Platinum]]</f>
        <v>256871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45306.041666666606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1240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45306.08333333327</v>
      </c>
      <c r="AG30" s="182"/>
      <c r="AH30" s="182"/>
      <c r="AI30" s="182"/>
      <c r="AJ30" s="182"/>
      <c r="AK30" s="182"/>
      <c r="AL30" s="182"/>
      <c r="AM30" s="182"/>
      <c r="AN30" s="182"/>
      <c r="AO30" s="145"/>
      <c r="AP30" s="97">
        <f ca="1">TblProd[[#This Row],[Platinum]]</f>
        <v>262541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45306.08333333327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1240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45306.124999999935</v>
      </c>
      <c r="AG31" s="182"/>
      <c r="AH31" s="182"/>
      <c r="AI31" s="182"/>
      <c r="AJ31" s="182"/>
      <c r="AK31" s="182"/>
      <c r="AL31" s="182"/>
      <c r="AM31" s="182"/>
      <c r="AN31" s="182"/>
      <c r="AO31" s="145"/>
      <c r="AP31" s="97">
        <f ca="1">TblProd[[#This Row],[Platinum]]</f>
        <v>268211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45306.124999999935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1240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45306.166666666599</v>
      </c>
      <c r="AG32" s="182"/>
      <c r="AH32" s="182"/>
      <c r="AI32" s="182"/>
      <c r="AJ32" s="182"/>
      <c r="AK32" s="182"/>
      <c r="AL32" s="182"/>
      <c r="AM32" s="182"/>
      <c r="AN32" s="182"/>
      <c r="AO32" s="145"/>
      <c r="AP32" s="97">
        <f ca="1">TblProd[[#This Row],[Platinum]]</f>
        <v>273881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45306.166666666599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1240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45306.208333333263</v>
      </c>
      <c r="AG33" s="182"/>
      <c r="AH33" s="182"/>
      <c r="AI33" s="182"/>
      <c r="AJ33" s="182"/>
      <c r="AK33" s="182"/>
      <c r="AL33" s="182"/>
      <c r="AM33" s="182"/>
      <c r="AN33" s="182"/>
      <c r="AO33" s="145"/>
      <c r="AP33" s="97">
        <f ca="1">TblProd[[#This Row],[Platinum]]</f>
        <v>279551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45306.208333333263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1240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45306.249999999927</v>
      </c>
      <c r="AG34" s="182"/>
      <c r="AH34" s="182"/>
      <c r="AI34" s="182"/>
      <c r="AJ34" s="182"/>
      <c r="AK34" s="182"/>
      <c r="AL34" s="182"/>
      <c r="AM34" s="182"/>
      <c r="AN34" s="182"/>
      <c r="AO34" s="145"/>
      <c r="AP34" s="97">
        <f ca="1">TblProd[[#This Row],[Platinum]]</f>
        <v>285207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45306.249999999927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1240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45306.291666666591</v>
      </c>
      <c r="AG35" s="182"/>
      <c r="AH35" s="182"/>
      <c r="AI35" s="182"/>
      <c r="AJ35" s="182"/>
      <c r="AK35" s="182"/>
      <c r="AL35" s="182"/>
      <c r="AM35" s="182"/>
      <c r="AN35" s="182"/>
      <c r="AO35" s="145"/>
      <c r="AP35" s="97">
        <f ca="1">TblProd[[#This Row],[Platinum]]</f>
        <v>290820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45306.291666666591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1240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45306.333333333256</v>
      </c>
      <c r="AG36" s="182"/>
      <c r="AH36" s="182"/>
      <c r="AI36" s="182"/>
      <c r="AJ36" s="182"/>
      <c r="AK36" s="182"/>
      <c r="AL36" s="182"/>
      <c r="AM36" s="182"/>
      <c r="AN36" s="182"/>
      <c r="AO36" s="145"/>
      <c r="AP36" s="97">
        <f ca="1">TblProd[[#This Row],[Platinum]]</f>
        <v>296390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45306.333333333256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1240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45306.37499999992</v>
      </c>
      <c r="AG37" s="182"/>
      <c r="AH37" s="182"/>
      <c r="AI37" s="182"/>
      <c r="AJ37" s="182"/>
      <c r="AK37" s="182"/>
      <c r="AL37" s="182"/>
      <c r="AM37" s="182"/>
      <c r="AN37" s="182"/>
      <c r="AO37" s="145"/>
      <c r="AP37" s="97">
        <f ca="1">TblProd[[#This Row],[Platinum]]</f>
        <v>301916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45306.37499999992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1240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45306.416666666584</v>
      </c>
      <c r="AG38" s="182"/>
      <c r="AH38" s="182"/>
      <c r="AI38" s="182"/>
      <c r="AJ38" s="182"/>
      <c r="AK38" s="182"/>
      <c r="AL38" s="182"/>
      <c r="AM38" s="182"/>
      <c r="AN38" s="182"/>
      <c r="AO38" s="145"/>
      <c r="AP38" s="97">
        <f ca="1">TblProd[[#This Row],[Platinum]]</f>
        <v>307402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45306.416666666584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1240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45306.458333333248</v>
      </c>
      <c r="AG39" s="182"/>
      <c r="AH39" s="182"/>
      <c r="AI39" s="182"/>
      <c r="AJ39" s="182"/>
      <c r="AK39" s="182"/>
      <c r="AL39" s="182"/>
      <c r="AM39" s="182"/>
      <c r="AN39" s="182"/>
      <c r="AO39" s="145"/>
      <c r="AP39" s="97">
        <f ca="1">TblProd[[#This Row],[Platinum]]</f>
        <v>312888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45306.458333333248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1240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45306.499999999913</v>
      </c>
      <c r="AG40" s="182"/>
      <c r="AH40" s="182"/>
      <c r="AI40" s="182"/>
      <c r="AJ40" s="182"/>
      <c r="AK40" s="182"/>
      <c r="AL40" s="182"/>
      <c r="AM40" s="182"/>
      <c r="AN40" s="182"/>
      <c r="AO40" s="145"/>
      <c r="AP40" s="97">
        <f ca="1">TblProd[[#This Row],[Platinum]]</f>
        <v>318374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45306.499999999913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1240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45306.541666666577</v>
      </c>
      <c r="AG41" s="182"/>
      <c r="AH41" s="182"/>
      <c r="AI41" s="182"/>
      <c r="AJ41" s="182"/>
      <c r="AK41" s="182"/>
      <c r="AL41" s="182"/>
      <c r="AM41" s="182"/>
      <c r="AN41" s="182"/>
      <c r="AO41" s="145"/>
      <c r="AP41" s="97">
        <f ca="1">TblProd[[#This Row],[Platinum]]</f>
        <v>323860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45306.541666666577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1240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45306.583333333241</v>
      </c>
      <c r="AG42" s="182"/>
      <c r="AH42" s="182"/>
      <c r="AI42" s="182"/>
      <c r="AJ42" s="182"/>
      <c r="AK42" s="182"/>
      <c r="AL42" s="182"/>
      <c r="AM42" s="182"/>
      <c r="AN42" s="182"/>
      <c r="AO42" s="145"/>
      <c r="AP42" s="97">
        <f ca="1">TblProd[[#This Row],[Platinum]]</f>
        <v>329346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45306.583333333241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1240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45306.624999999905</v>
      </c>
      <c r="AG43" s="182"/>
      <c r="AH43" s="182"/>
      <c r="AI43" s="182"/>
      <c r="AJ43" s="182"/>
      <c r="AK43" s="182"/>
      <c r="AL43" s="182"/>
      <c r="AM43" s="182"/>
      <c r="AN43" s="182"/>
      <c r="AO43" s="145"/>
      <c r="AP43" s="97">
        <f ca="1">TblProd[[#This Row],[Platinum]]</f>
        <v>334832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45306.624999999905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1240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45306.66666666657</v>
      </c>
      <c r="AG44" s="182"/>
      <c r="AH44" s="182"/>
      <c r="AI44" s="182"/>
      <c r="AJ44" s="182"/>
      <c r="AK44" s="182"/>
      <c r="AL44" s="182"/>
      <c r="AM44" s="182"/>
      <c r="AN44" s="182"/>
      <c r="AO44" s="145"/>
      <c r="AP44" s="97">
        <f ca="1">TblProd[[#This Row],[Platinum]]</f>
        <v>340318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45306.66666666657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1240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45306.708333333234</v>
      </c>
      <c r="AG45" s="182"/>
      <c r="AH45" s="182"/>
      <c r="AI45" s="182"/>
      <c r="AJ45" s="182"/>
      <c r="AK45" s="182"/>
      <c r="AL45" s="182"/>
      <c r="AM45" s="182"/>
      <c r="AN45" s="182"/>
      <c r="AO45" s="145"/>
      <c r="AP45" s="97">
        <f ca="1">TblProd[[#This Row],[Platinum]]</f>
        <v>345804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45306.708333333234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1240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45306.749999999898</v>
      </c>
      <c r="AG46" s="182"/>
      <c r="AH46" s="182"/>
      <c r="AI46" s="182"/>
      <c r="AJ46" s="182"/>
      <c r="AK46" s="182"/>
      <c r="AL46" s="182"/>
      <c r="AM46" s="182"/>
      <c r="AN46" s="182"/>
      <c r="AO46" s="145"/>
      <c r="AP46" s="97">
        <f ca="1">TblProd[[#This Row],[Platinum]]</f>
        <v>351290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45306.749999999898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1240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45306.791666666562</v>
      </c>
      <c r="AG47" s="182"/>
      <c r="AH47" s="182"/>
      <c r="AI47" s="182"/>
      <c r="AJ47" s="182"/>
      <c r="AK47" s="182"/>
      <c r="AL47" s="182"/>
      <c r="AM47" s="182"/>
      <c r="AN47" s="182"/>
      <c r="AO47" s="145"/>
      <c r="AP47" s="97">
        <f ca="1">TblProd[[#This Row],[Platinum]]</f>
        <v>356776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45306.791666666562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1240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45306.833333333227</v>
      </c>
      <c r="AG48" s="182"/>
      <c r="AH48" s="182"/>
      <c r="AI48" s="182"/>
      <c r="AJ48" s="182"/>
      <c r="AK48" s="182"/>
      <c r="AL48" s="182"/>
      <c r="AM48" s="182"/>
      <c r="AN48" s="182"/>
      <c r="AO48" s="145"/>
      <c r="AP48" s="97">
        <f ca="1">TblProd[[#This Row],[Platinum]]</f>
        <v>362262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45306.833333333227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1240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45306.874999999891</v>
      </c>
      <c r="AG49" s="182"/>
      <c r="AH49" s="182"/>
      <c r="AI49" s="182"/>
      <c r="AJ49" s="182"/>
      <c r="AK49" s="182"/>
      <c r="AL49" s="182"/>
      <c r="AM49" s="182"/>
      <c r="AN49" s="182"/>
      <c r="AO49" s="145"/>
      <c r="AP49" s="97">
        <f ca="1">TblProd[[#This Row],[Platinum]]</f>
        <v>367748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45306.874999999891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1240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45306.916666666555</v>
      </c>
      <c r="AG50" s="182"/>
      <c r="AH50" s="182"/>
      <c r="AI50" s="182"/>
      <c r="AJ50" s="182"/>
      <c r="AK50" s="182"/>
      <c r="AL50" s="182"/>
      <c r="AM50" s="182"/>
      <c r="AN50" s="182"/>
      <c r="AO50" s="145"/>
      <c r="AP50" s="97">
        <f ca="1">TblProd[[#This Row],[Platinum]]</f>
        <v>373234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45306.916666666555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1240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45306.958333333219</v>
      </c>
      <c r="AG51" s="182"/>
      <c r="AH51" s="182"/>
      <c r="AI51" s="182"/>
      <c r="AJ51" s="182"/>
      <c r="AK51" s="182"/>
      <c r="AL51" s="182"/>
      <c r="AM51" s="182"/>
      <c r="AN51" s="182"/>
      <c r="AO51" s="145"/>
      <c r="AP51" s="97">
        <f ca="1">TblProd[[#This Row],[Platinum]]</f>
        <v>378720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45306.958333333219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1240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45306.999999999884</v>
      </c>
      <c r="AG52" s="182"/>
      <c r="AH52" s="182"/>
      <c r="AI52" s="182"/>
      <c r="AJ52" s="182"/>
      <c r="AK52" s="182"/>
      <c r="AL52" s="182"/>
      <c r="AM52" s="182"/>
      <c r="AN52" s="182"/>
      <c r="AO52" s="145"/>
      <c r="AP52" s="97">
        <f ca="1">TblProd[[#This Row],[Platinum]]</f>
        <v>384206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45306.999999999884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1240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45307.041666666548</v>
      </c>
      <c r="AG53" s="161"/>
      <c r="AH53" s="182"/>
      <c r="AI53" s="161"/>
      <c r="AJ53" s="182"/>
      <c r="AK53" s="182"/>
      <c r="AL53" s="182"/>
      <c r="AM53" s="182"/>
      <c r="AN53" s="182"/>
      <c r="AO53" s="145"/>
      <c r="AP53" s="97">
        <f ca="1">TblProd[[#This Row],[Platinum]]</f>
        <v>389692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45307.041666666548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1240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45307.083333333212</v>
      </c>
      <c r="AG54" s="182"/>
      <c r="AH54" s="182"/>
      <c r="AI54" s="182"/>
      <c r="AJ54" s="182"/>
      <c r="AK54" s="182"/>
      <c r="AL54" s="182"/>
      <c r="AM54" s="182"/>
      <c r="AN54" s="182"/>
      <c r="AO54" s="145"/>
      <c r="AP54" s="97">
        <f ca="1">TblProd[[#This Row],[Platinum]]</f>
        <v>395178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45307.083333333212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1240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45307.124999999876</v>
      </c>
      <c r="AG55" s="182"/>
      <c r="AH55" s="182"/>
      <c r="AI55" s="182"/>
      <c r="AJ55" s="182"/>
      <c r="AK55" s="182"/>
      <c r="AL55" s="182"/>
      <c r="AM55" s="182"/>
      <c r="AN55" s="182"/>
      <c r="AO55" s="145"/>
      <c r="AP55" s="97">
        <f ca="1">TblProd[[#This Row],[Platinum]]</f>
        <v>400664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45307.124999999876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1240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45307.166666666541</v>
      </c>
      <c r="AG56" s="182"/>
      <c r="AH56" s="182"/>
      <c r="AI56" s="182"/>
      <c r="AJ56" s="182"/>
      <c r="AK56" s="182"/>
      <c r="AL56" s="182"/>
      <c r="AM56" s="182"/>
      <c r="AN56" s="182"/>
      <c r="AO56" s="145"/>
      <c r="AP56" s="97">
        <f ca="1">TblProd[[#This Row],[Platinum]]</f>
        <v>406150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45307.166666666541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1240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45307.208333333205</v>
      </c>
      <c r="AG57" s="182"/>
      <c r="AH57" s="182"/>
      <c r="AI57" s="182"/>
      <c r="AJ57" s="182"/>
      <c r="AK57" s="182"/>
      <c r="AL57" s="182"/>
      <c r="AM57" s="182"/>
      <c r="AN57" s="182"/>
      <c r="AO57" s="145"/>
      <c r="AP57" s="97">
        <f ca="1">TblProd[[#This Row],[Platinum]]</f>
        <v>411636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45307.208333333205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1240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45307.249999999869</v>
      </c>
      <c r="AG58" s="182"/>
      <c r="AH58" s="182"/>
      <c r="AI58" s="182"/>
      <c r="AJ58" s="182"/>
      <c r="AK58" s="182"/>
      <c r="AL58" s="182"/>
      <c r="AM58" s="182"/>
      <c r="AN58" s="182"/>
      <c r="AO58" s="145"/>
      <c r="AP58" s="97">
        <f ca="1">TblProd[[#This Row],[Platinum]]</f>
        <v>417122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45307.249999999869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1240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45307.291666666533</v>
      </c>
      <c r="AG59" s="182"/>
      <c r="AH59" s="182"/>
      <c r="AI59" s="182"/>
      <c r="AJ59" s="182"/>
      <c r="AK59" s="182"/>
      <c r="AL59" s="182"/>
      <c r="AM59" s="182"/>
      <c r="AN59" s="182"/>
      <c r="AO59" s="145"/>
      <c r="AP59" s="97">
        <f ca="1">TblProd[[#This Row],[Platinum]]</f>
        <v>422608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45307.291666666533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1240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45307.333333333198</v>
      </c>
      <c r="AG60" s="182"/>
      <c r="AH60" s="182"/>
      <c r="AI60" s="182"/>
      <c r="AJ60" s="182"/>
      <c r="AK60" s="182"/>
      <c r="AL60" s="182"/>
      <c r="AM60" s="182"/>
      <c r="AN60" s="182"/>
      <c r="AO60" s="145"/>
      <c r="AP60" s="97">
        <f ca="1">TblProd[[#This Row],[Platinum]]</f>
        <v>428094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45307.333333333198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1240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45307.374999999862</v>
      </c>
      <c r="AG61" s="182"/>
      <c r="AH61" s="182"/>
      <c r="AI61" s="182"/>
      <c r="AJ61" s="182"/>
      <c r="AK61" s="182"/>
      <c r="AL61" s="182"/>
      <c r="AM61" s="182"/>
      <c r="AN61" s="182"/>
      <c r="AO61" s="145"/>
      <c r="AP61" s="97">
        <f ca="1">TblProd[[#This Row],[Platinum]]</f>
        <v>433580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45307.374999999862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1240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45307.416666666526</v>
      </c>
      <c r="AG62" s="182"/>
      <c r="AH62" s="182"/>
      <c r="AI62" s="182"/>
      <c r="AJ62" s="182"/>
      <c r="AK62" s="182"/>
      <c r="AL62" s="182"/>
      <c r="AM62" s="182"/>
      <c r="AN62" s="182"/>
      <c r="AO62" s="145"/>
      <c r="AP62" s="97">
        <f ca="1">TblProd[[#This Row],[Platinum]]</f>
        <v>439066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45307.416666666526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1240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45307.45833333319</v>
      </c>
      <c r="AG63" s="182"/>
      <c r="AH63" s="182"/>
      <c r="AI63" s="182"/>
      <c r="AJ63" s="182"/>
      <c r="AK63" s="182"/>
      <c r="AL63" s="182"/>
      <c r="AM63" s="182"/>
      <c r="AN63" s="182"/>
      <c r="AO63" s="145"/>
      <c r="AP63" s="97">
        <f ca="1">TblProd[[#This Row],[Platinum]]</f>
        <v>444552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45307.45833333319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1240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45307.499999999854</v>
      </c>
      <c r="AG64" s="182"/>
      <c r="AH64" s="161"/>
      <c r="AI64" s="182"/>
      <c r="AJ64" s="161"/>
      <c r="AK64" s="161"/>
      <c r="AL64" s="161"/>
      <c r="AM64" s="161"/>
      <c r="AN64" s="182"/>
      <c r="AO64" s="145"/>
      <c r="AP64" s="97">
        <f ca="1">TblProd[[#This Row],[Platinum]]</f>
        <v>450038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45307.499999999854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1240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45307.541666666519</v>
      </c>
      <c r="AG65" s="161"/>
      <c r="AH65" s="182"/>
      <c r="AI65" s="182"/>
      <c r="AJ65" s="182"/>
      <c r="AK65" s="182"/>
      <c r="AL65" s="182"/>
      <c r="AM65" s="182"/>
      <c r="AN65" s="182"/>
      <c r="AO65" s="145"/>
      <c r="AP65" s="97">
        <f ca="1">TblProd[[#This Row],[Platinum]]</f>
        <v>455524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45307.541666666519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1240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45307.583333333183</v>
      </c>
      <c r="AG66" s="182"/>
      <c r="AH66" s="182"/>
      <c r="AI66" s="182"/>
      <c r="AJ66" s="182"/>
      <c r="AK66" s="182"/>
      <c r="AL66" s="182"/>
      <c r="AM66" s="182"/>
      <c r="AN66" s="182"/>
      <c r="AO66" s="145"/>
      <c r="AP66" s="97">
        <f ca="1">TblProd[[#This Row],[Platinum]]</f>
        <v>461010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45307.583333333183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1240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45307.624999999847</v>
      </c>
      <c r="AG67" s="161"/>
      <c r="AH67" s="161"/>
      <c r="AI67" s="182"/>
      <c r="AJ67" s="182"/>
      <c r="AK67" s="182"/>
      <c r="AL67" s="182"/>
      <c r="AM67" s="182"/>
      <c r="AN67" s="182"/>
      <c r="AO67" s="145"/>
      <c r="AP67" s="97">
        <f ca="1">TblProd[[#This Row],[Platinum]]</f>
        <v>466496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45307.624999999847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1240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45307.666666666511</v>
      </c>
      <c r="AG68" s="161"/>
      <c r="AH68" s="161"/>
      <c r="AI68" s="182"/>
      <c r="AJ68" s="182"/>
      <c r="AK68" s="182"/>
      <c r="AL68" s="182"/>
      <c r="AM68" s="182"/>
      <c r="AN68" s="182"/>
      <c r="AO68" s="145"/>
      <c r="AP68" s="97">
        <f ca="1">TblProd[[#This Row],[Platinum]]</f>
        <v>471982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45307.666666666511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1240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45307.708333333176</v>
      </c>
      <c r="AG69" s="182"/>
      <c r="AH69" s="161"/>
      <c r="AI69" s="182"/>
      <c r="AJ69" s="182"/>
      <c r="AK69" s="182"/>
      <c r="AL69" s="182"/>
      <c r="AM69" s="182"/>
      <c r="AN69" s="182"/>
      <c r="AO69" s="145"/>
      <c r="AP69" s="97">
        <f ca="1">TblProd[[#This Row],[Platinum]]</f>
        <v>477468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45307.708333333176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1240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45307.74999999984</v>
      </c>
      <c r="AG70" s="182"/>
      <c r="AH70" s="161"/>
      <c r="AI70" s="182"/>
      <c r="AJ70" s="182"/>
      <c r="AK70" s="182"/>
      <c r="AL70" s="182"/>
      <c r="AM70" s="182"/>
      <c r="AN70" s="182"/>
      <c r="AO70" s="145"/>
      <c r="AP70" s="97">
        <f ca="1">TblProd[[#This Row],[Platinum]]</f>
        <v>482954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45307.74999999984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1240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45307.791666666504</v>
      </c>
      <c r="AG71" s="182"/>
      <c r="AH71" s="161"/>
      <c r="AI71" s="182"/>
      <c r="AJ71" s="182"/>
      <c r="AK71" s="182"/>
      <c r="AL71" s="182"/>
      <c r="AM71" s="182"/>
      <c r="AN71" s="182"/>
      <c r="AO71" s="145"/>
      <c r="AP71" s="97">
        <f ca="1">TblProd[[#This Row],[Platinum]]</f>
        <v>488440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45307.791666666504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1240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45307.833333333168</v>
      </c>
      <c r="AG72" s="182"/>
      <c r="AH72" s="161"/>
      <c r="AI72" s="182"/>
      <c r="AJ72" s="182"/>
      <c r="AK72" s="182"/>
      <c r="AL72" s="182"/>
      <c r="AM72" s="182"/>
      <c r="AN72" s="182"/>
      <c r="AO72" s="145"/>
      <c r="AP72" s="97">
        <f ca="1">TblProd[[#This Row],[Platinum]]</f>
        <v>493926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45307.833333333168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1240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45307.874999999833</v>
      </c>
      <c r="AG73" s="182"/>
      <c r="AH73" s="161"/>
      <c r="AI73" s="182"/>
      <c r="AJ73" s="182"/>
      <c r="AK73" s="182"/>
      <c r="AL73" s="182"/>
      <c r="AM73" s="182"/>
      <c r="AN73" s="182"/>
      <c r="AO73" s="145"/>
      <c r="AP73" s="97">
        <f ca="1">TblProd[[#This Row],[Platinum]]</f>
        <v>499412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45307.874999999833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1240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45307.916666666497</v>
      </c>
      <c r="AG74" s="182"/>
      <c r="AH74" s="161"/>
      <c r="AI74" s="182"/>
      <c r="AJ74" s="182"/>
      <c r="AK74" s="182"/>
      <c r="AL74" s="182"/>
      <c r="AM74" s="182"/>
      <c r="AN74" s="182"/>
      <c r="AO74" s="145"/>
      <c r="AP74" s="97">
        <f ca="1">TblProd[[#This Row],[Platinum]]</f>
        <v>504898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45307.916666666497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1240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45307.958333333161</v>
      </c>
      <c r="AG75" s="182"/>
      <c r="AH75" s="161"/>
      <c r="AI75" s="182"/>
      <c r="AJ75" s="182"/>
      <c r="AK75" s="182"/>
      <c r="AL75" s="182"/>
      <c r="AM75" s="182"/>
      <c r="AN75" s="182"/>
      <c r="AO75" s="145"/>
      <c r="AP75" s="97">
        <f ca="1">TblProd[[#This Row],[Platinum]]</f>
        <v>510384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45307.958333333161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1240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45307.999999999825</v>
      </c>
      <c r="AG76" s="207"/>
      <c r="AH76" s="161"/>
      <c r="AI76" s="182"/>
      <c r="AJ76" s="207"/>
      <c r="AK76" s="207"/>
      <c r="AL76" s="207"/>
      <c r="AM76" s="207"/>
      <c r="AN76" s="207"/>
      <c r="AO76" s="152"/>
      <c r="AP76" s="210">
        <f ca="1">TblProd[[#This Row],[Platinum]]</f>
        <v>515870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45307.999999999825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1240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45308.04166666649</v>
      </c>
      <c r="AG77" s="182"/>
      <c r="AH77" s="161"/>
      <c r="AI77" s="182"/>
      <c r="AJ77" s="182"/>
      <c r="AK77" s="182"/>
      <c r="AL77" s="182"/>
      <c r="AM77" s="182"/>
      <c r="AN77" s="182"/>
      <c r="AO77" s="145"/>
      <c r="AP77" s="97">
        <f ca="1">TblProd[[#This Row],[Platinum]]</f>
        <v>521356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45308.04166666649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1240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45308.083333333154</v>
      </c>
      <c r="AG78" s="182"/>
      <c r="AH78" s="161"/>
      <c r="AI78" s="182"/>
      <c r="AJ78" s="182"/>
      <c r="AK78" s="182"/>
      <c r="AL78" s="182"/>
      <c r="AM78" s="182"/>
      <c r="AN78" s="182"/>
      <c r="AO78" s="145"/>
      <c r="AP78" s="97">
        <f ca="1">TblProd[[#This Row],[Platinum]]</f>
        <v>526842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45308.083333333154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1240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45308.124999999818</v>
      </c>
      <c r="AG79" s="182"/>
      <c r="AH79" s="182"/>
      <c r="AI79" s="182"/>
      <c r="AJ79" s="182"/>
      <c r="AK79" s="182"/>
      <c r="AL79" s="182"/>
      <c r="AM79" s="182"/>
      <c r="AN79" s="182"/>
      <c r="AO79" s="145"/>
      <c r="AP79" s="97">
        <f ca="1">TblProd[[#This Row],[Platinum]]</f>
        <v>532328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45308.124999999818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1240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45308.166666666482</v>
      </c>
      <c r="AG80" s="182"/>
      <c r="AH80" s="182"/>
      <c r="AI80" s="182"/>
      <c r="AJ80" s="182"/>
      <c r="AK80" s="182"/>
      <c r="AL80" s="182"/>
      <c r="AM80" s="182"/>
      <c r="AN80" s="182"/>
      <c r="AO80" s="145"/>
      <c r="AP80" s="97">
        <f ca="1">TblProd[[#This Row],[Platinum]]</f>
        <v>537814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45308.166666666482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1240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45308.208333333147</v>
      </c>
      <c r="AG81" s="182"/>
      <c r="AH81" s="182"/>
      <c r="AI81" s="182"/>
      <c r="AJ81" s="182"/>
      <c r="AK81" s="182"/>
      <c r="AL81" s="182"/>
      <c r="AM81" s="182"/>
      <c r="AN81" s="182"/>
      <c r="AO81" s="145"/>
      <c r="AP81" s="97">
        <f ca="1">TblProd[[#This Row],[Platinum]]</f>
        <v>543300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45308.208333333147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1240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45308.249999999811</v>
      </c>
      <c r="AG82" s="182"/>
      <c r="AH82" s="182"/>
      <c r="AI82" s="182"/>
      <c r="AJ82" s="182"/>
      <c r="AK82" s="182"/>
      <c r="AL82" s="182"/>
      <c r="AM82" s="182"/>
      <c r="AN82" s="182"/>
      <c r="AO82" s="145"/>
      <c r="AP82" s="97">
        <f ca="1">TblProd[[#This Row],[Platinum]]</f>
        <v>548786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45308.249999999811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1240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45308.291666666475</v>
      </c>
      <c r="AG83" s="182"/>
      <c r="AH83" s="182"/>
      <c r="AI83" s="182"/>
      <c r="AJ83" s="182"/>
      <c r="AK83" s="182"/>
      <c r="AL83" s="182"/>
      <c r="AM83" s="182"/>
      <c r="AN83" s="182"/>
      <c r="AO83" s="145"/>
      <c r="AP83" s="97">
        <f ca="1">TblProd[[#This Row],[Platinum]]</f>
        <v>554272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45308.291666666475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1240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45308.333333333139</v>
      </c>
      <c r="AG84" s="182"/>
      <c r="AH84" s="182"/>
      <c r="AI84" s="182"/>
      <c r="AJ84" s="182"/>
      <c r="AK84" s="182"/>
      <c r="AL84" s="182"/>
      <c r="AM84" s="182"/>
      <c r="AN84" s="182"/>
      <c r="AO84" s="145"/>
      <c r="AP84" s="97">
        <f ca="1">TblProd[[#This Row],[Platinum]]</f>
        <v>559758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45308.333333333139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1240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45308.374999999804</v>
      </c>
      <c r="AG85" s="182"/>
      <c r="AH85" s="182"/>
      <c r="AI85" s="182"/>
      <c r="AJ85" s="182"/>
      <c r="AK85" s="182"/>
      <c r="AL85" s="182"/>
      <c r="AM85" s="182"/>
      <c r="AN85" s="182"/>
      <c r="AO85" s="145"/>
      <c r="AP85" s="97">
        <f ca="1">TblProd[[#This Row],[Platinum]]</f>
        <v>565244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45308.374999999804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1240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45308.416666666468</v>
      </c>
      <c r="AG86" s="182"/>
      <c r="AH86" s="182"/>
      <c r="AI86" s="182"/>
      <c r="AJ86" s="182"/>
      <c r="AK86" s="182"/>
      <c r="AL86" s="182"/>
      <c r="AM86" s="182"/>
      <c r="AN86" s="182"/>
      <c r="AO86" s="145"/>
      <c r="AP86" s="97">
        <f ca="1">TblProd[[#This Row],[Platinum]]</f>
        <v>570730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45308.416666666468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1240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45308.458333333132</v>
      </c>
      <c r="AG87" s="182"/>
      <c r="AH87" s="182"/>
      <c r="AI87" s="182"/>
      <c r="AJ87" s="182"/>
      <c r="AK87" s="182"/>
      <c r="AL87" s="182"/>
      <c r="AM87" s="182"/>
      <c r="AN87" s="182"/>
      <c r="AO87" s="145"/>
      <c r="AP87" s="97">
        <f ca="1">TblProd[[#This Row],[Platinum]]</f>
        <v>576216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45308.458333333132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1240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45308.499999999796</v>
      </c>
      <c r="AG88" s="182"/>
      <c r="AH88" s="182"/>
      <c r="AI88" s="182"/>
      <c r="AJ88" s="182"/>
      <c r="AK88" s="182"/>
      <c r="AL88" s="182"/>
      <c r="AM88" s="182"/>
      <c r="AN88" s="182"/>
      <c r="AO88" s="145"/>
      <c r="AP88" s="97">
        <f ca="1">TblProd[[#This Row],[Platinum]]</f>
        <v>581702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45308.499999999796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1240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45308.541666666461</v>
      </c>
      <c r="AG89" s="182"/>
      <c r="AH89" s="182"/>
      <c r="AI89" s="182"/>
      <c r="AJ89" s="182"/>
      <c r="AK89" s="182"/>
      <c r="AL89" s="182"/>
      <c r="AM89" s="182"/>
      <c r="AN89" s="182"/>
      <c r="AO89" s="145"/>
      <c r="AP89" s="97">
        <f ca="1">TblProd[[#This Row],[Platinum]]</f>
        <v>587188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45308.541666666461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1240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45308.583333333125</v>
      </c>
      <c r="AG90" s="182"/>
      <c r="AH90" s="182"/>
      <c r="AI90" s="182"/>
      <c r="AJ90" s="182"/>
      <c r="AK90" s="182"/>
      <c r="AL90" s="182"/>
      <c r="AM90" s="182"/>
      <c r="AN90" s="182"/>
      <c r="AO90" s="145"/>
      <c r="AP90" s="97">
        <f ca="1">TblProd[[#This Row],[Platinum]]</f>
        <v>592674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45308.583333333125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1240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45308.624999999789</v>
      </c>
      <c r="AG91" s="182"/>
      <c r="AH91" s="182"/>
      <c r="AI91" s="182"/>
      <c r="AJ91" s="182"/>
      <c r="AK91" s="182"/>
      <c r="AL91" s="182"/>
      <c r="AM91" s="182"/>
      <c r="AN91" s="182"/>
      <c r="AO91" s="145"/>
      <c r="AP91" s="97">
        <f ca="1">TblProd[[#This Row],[Platinum]]</f>
        <v>598160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45308.624999999789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1240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45308.666666666453</v>
      </c>
      <c r="AG92" s="182"/>
      <c r="AH92" s="182"/>
      <c r="AI92" s="182"/>
      <c r="AJ92" s="182"/>
      <c r="AK92" s="182"/>
      <c r="AL92" s="182"/>
      <c r="AM92" s="182"/>
      <c r="AN92" s="182"/>
      <c r="AO92" s="145"/>
      <c r="AP92" s="97">
        <f ca="1">TblProd[[#This Row],[Platinum]]</f>
        <v>603646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45308.666666666453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1240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45308.708333333117</v>
      </c>
      <c r="AG93" s="182"/>
      <c r="AH93" s="182"/>
      <c r="AI93" s="182"/>
      <c r="AJ93" s="182"/>
      <c r="AK93" s="182"/>
      <c r="AL93" s="182"/>
      <c r="AM93" s="182"/>
      <c r="AN93" s="182"/>
      <c r="AO93" s="145"/>
      <c r="AP93" s="97">
        <f ca="1">TblProd[[#This Row],[Platinum]]</f>
        <v>609132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45308.708333333117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1240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45308.749999999782</v>
      </c>
      <c r="AG94" s="182"/>
      <c r="AH94" s="182"/>
      <c r="AI94" s="182"/>
      <c r="AJ94" s="182"/>
      <c r="AK94" s="182"/>
      <c r="AL94" s="182"/>
      <c r="AM94" s="182"/>
      <c r="AN94" s="182"/>
      <c r="AO94" s="145"/>
      <c r="AP94" s="97">
        <f ca="1">TblProd[[#This Row],[Platinum]]</f>
        <v>614618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45308.749999999782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1240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45308.791666666446</v>
      </c>
      <c r="AG95" s="182"/>
      <c r="AH95" s="182"/>
      <c r="AI95" s="182"/>
      <c r="AJ95" s="182"/>
      <c r="AK95" s="182"/>
      <c r="AL95" s="182"/>
      <c r="AM95" s="182"/>
      <c r="AN95" s="182"/>
      <c r="AO95" s="145"/>
      <c r="AP95" s="97">
        <f ca="1">TblProd[[#This Row],[Platinum]]</f>
        <v>620104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45308.791666666446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1240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45308.83333333311</v>
      </c>
      <c r="AG96" s="182"/>
      <c r="AH96" s="182"/>
      <c r="AI96" s="182"/>
      <c r="AJ96" s="182"/>
      <c r="AK96" s="182"/>
      <c r="AL96" s="182"/>
      <c r="AM96" s="182"/>
      <c r="AN96" s="182"/>
      <c r="AO96" s="145"/>
      <c r="AP96" s="97">
        <f ca="1">TblProd[[#This Row],[Platinum]]</f>
        <v>625590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45308.83333333311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1240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45308.874999999774</v>
      </c>
      <c r="AG97" s="182"/>
      <c r="AH97" s="182"/>
      <c r="AI97" s="182"/>
      <c r="AJ97" s="182"/>
      <c r="AK97" s="182"/>
      <c r="AL97" s="182"/>
      <c r="AM97" s="182"/>
      <c r="AN97" s="182"/>
      <c r="AO97" s="145"/>
      <c r="AP97" s="97">
        <f ca="1">TblProd[[#This Row],[Platinum]]</f>
        <v>631076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45308.874999999774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1240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45308.916666666439</v>
      </c>
      <c r="AG98" s="182"/>
      <c r="AH98" s="182"/>
      <c r="AI98" s="182"/>
      <c r="AJ98" s="182"/>
      <c r="AK98" s="182"/>
      <c r="AL98" s="182"/>
      <c r="AM98" s="182"/>
      <c r="AN98" s="182"/>
      <c r="AO98" s="145"/>
      <c r="AP98" s="97">
        <f ca="1">TblProd[[#This Row],[Platinum]]</f>
        <v>636562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45308.916666666439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1240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45308.958333333103</v>
      </c>
      <c r="AG99" s="182"/>
      <c r="AH99" s="182"/>
      <c r="AI99" s="182"/>
      <c r="AJ99" s="182"/>
      <c r="AK99" s="182"/>
      <c r="AL99" s="182"/>
      <c r="AM99" s="182"/>
      <c r="AN99" s="182"/>
      <c r="AO99" s="145"/>
      <c r="AP99" s="97">
        <f ca="1">TblProd[[#This Row],[Platinum]]</f>
        <v>642048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45308.958333333103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1240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45308.999999999767</v>
      </c>
      <c r="AG100" s="182"/>
      <c r="AH100" s="182"/>
      <c r="AI100" s="182"/>
      <c r="AJ100" s="182"/>
      <c r="AK100" s="182"/>
      <c r="AL100" s="182"/>
      <c r="AM100" s="182"/>
      <c r="AN100" s="182"/>
      <c r="AO100" s="145"/>
      <c r="AP100" s="97">
        <f ca="1">TblProd[[#This Row],[Platinum]]</f>
        <v>647534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45308.999999999767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1240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45309.041666666431</v>
      </c>
      <c r="AG101" s="182"/>
      <c r="AH101" s="182"/>
      <c r="AI101" s="182"/>
      <c r="AJ101" s="182"/>
      <c r="AK101" s="182"/>
      <c r="AL101" s="182"/>
      <c r="AM101" s="182"/>
      <c r="AN101" s="182"/>
      <c r="AO101" s="145"/>
      <c r="AP101" s="97">
        <f ca="1">TblProd[[#This Row],[Platinum]]</f>
        <v>653020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45309.041666666431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1240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45309.083333333096</v>
      </c>
      <c r="AG102" s="182"/>
      <c r="AH102" s="182"/>
      <c r="AI102" s="182"/>
      <c r="AJ102" s="182"/>
      <c r="AK102" s="182"/>
      <c r="AL102" s="182"/>
      <c r="AM102" s="182"/>
      <c r="AN102" s="182"/>
      <c r="AO102" s="145"/>
      <c r="AP102" s="97">
        <f ca="1">TblProd[[#This Row],[Platinum]]</f>
        <v>658506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45309.083333333096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1240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45309.12499999976</v>
      </c>
      <c r="AG103" s="182"/>
      <c r="AH103" s="182"/>
      <c r="AI103" s="182"/>
      <c r="AJ103" s="182"/>
      <c r="AK103" s="182"/>
      <c r="AL103" s="182"/>
      <c r="AM103" s="182"/>
      <c r="AN103" s="182"/>
      <c r="AO103" s="145"/>
      <c r="AP103" s="97">
        <f ca="1">TblProd[[#This Row],[Platinum]]</f>
        <v>663992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45309.12499999976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1240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45309.166666666424</v>
      </c>
      <c r="AG104" s="182"/>
      <c r="AH104" s="182"/>
      <c r="AI104" s="182"/>
      <c r="AJ104" s="182"/>
      <c r="AK104" s="182"/>
      <c r="AL104" s="182"/>
      <c r="AM104" s="182"/>
      <c r="AN104" s="182"/>
      <c r="AO104" s="145"/>
      <c r="AP104" s="97">
        <f ca="1">TblProd[[#This Row],[Platinum]]</f>
        <v>669478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45309.166666666424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1240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45309.208333333088</v>
      </c>
      <c r="AG105" s="182"/>
      <c r="AH105" s="182"/>
      <c r="AI105" s="182"/>
      <c r="AJ105" s="182"/>
      <c r="AK105" s="182"/>
      <c r="AL105" s="182"/>
      <c r="AM105" s="182"/>
      <c r="AN105" s="182"/>
      <c r="AO105" s="145"/>
      <c r="AP105" s="97">
        <f ca="1">TblProd[[#This Row],[Platinum]]</f>
        <v>674964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45309.208333333088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1240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45309.249999999753</v>
      </c>
      <c r="AG106" s="182"/>
      <c r="AH106" s="182"/>
      <c r="AI106" s="182"/>
      <c r="AJ106" s="182"/>
      <c r="AK106" s="182"/>
      <c r="AL106" s="182"/>
      <c r="AM106" s="182"/>
      <c r="AN106" s="182"/>
      <c r="AO106" s="145"/>
      <c r="AP106" s="97">
        <f ca="1">TblProd[[#This Row],[Platinum]]</f>
        <v>680450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45309.249999999753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1240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45309.291666666417</v>
      </c>
      <c r="AG107" s="182"/>
      <c r="AH107" s="182"/>
      <c r="AI107" s="182"/>
      <c r="AJ107" s="182"/>
      <c r="AK107" s="182"/>
      <c r="AL107" s="182"/>
      <c r="AM107" s="182"/>
      <c r="AN107" s="182"/>
      <c r="AO107" s="145"/>
      <c r="AP107" s="97">
        <f ca="1">TblProd[[#This Row],[Platinum]]</f>
        <v>685936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45309.291666666417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1240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45309.333333333081</v>
      </c>
      <c r="AG108" s="182"/>
      <c r="AH108" s="182"/>
      <c r="AI108" s="182"/>
      <c r="AJ108" s="182"/>
      <c r="AK108" s="182"/>
      <c r="AL108" s="182"/>
      <c r="AM108" s="182"/>
      <c r="AN108" s="182"/>
      <c r="AO108" s="145"/>
      <c r="AP108" s="97">
        <f ca="1">TblProd[[#This Row],[Platinum]]</f>
        <v>691422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45309.333333333081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1240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45309.374999999745</v>
      </c>
      <c r="AG109" s="182"/>
      <c r="AH109" s="182"/>
      <c r="AI109" s="182"/>
      <c r="AJ109" s="182"/>
      <c r="AK109" s="182"/>
      <c r="AL109" s="182"/>
      <c r="AM109" s="182"/>
      <c r="AN109" s="182"/>
      <c r="AO109" s="145"/>
      <c r="AP109" s="97">
        <f ca="1">TblProd[[#This Row],[Platinum]]</f>
        <v>696908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45309.374999999745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1240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45309.41666666641</v>
      </c>
      <c r="AG110" s="182"/>
      <c r="AH110" s="182"/>
      <c r="AI110" s="182"/>
      <c r="AJ110" s="182"/>
      <c r="AK110" s="182"/>
      <c r="AL110" s="182"/>
      <c r="AM110" s="182"/>
      <c r="AN110" s="182"/>
      <c r="AO110" s="145"/>
      <c r="AP110" s="97">
        <f ca="1">TblProd[[#This Row],[Platinum]]</f>
        <v>702394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45309.41666666641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1240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45309.458333333074</v>
      </c>
      <c r="AG111" s="182"/>
      <c r="AH111" s="182"/>
      <c r="AI111" s="182"/>
      <c r="AJ111" s="182"/>
      <c r="AK111" s="182"/>
      <c r="AL111" s="182"/>
      <c r="AM111" s="182"/>
      <c r="AN111" s="182"/>
      <c r="AO111" s="145"/>
      <c r="AP111" s="97">
        <f ca="1">TblProd[[#This Row],[Platinum]]</f>
        <v>707880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45309.458333333074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1240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45309.499999999738</v>
      </c>
      <c r="AG112" s="182"/>
      <c r="AH112" s="182"/>
      <c r="AI112" s="182"/>
      <c r="AJ112" s="182"/>
      <c r="AK112" s="182"/>
      <c r="AL112" s="182"/>
      <c r="AM112" s="182"/>
      <c r="AN112" s="182"/>
      <c r="AO112" s="145"/>
      <c r="AP112" s="97">
        <f ca="1">TblProd[[#This Row],[Platinum]]</f>
        <v>713366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45309.499999999738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1240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45309.541666666402</v>
      </c>
      <c r="AG113" s="182"/>
      <c r="AH113" s="182"/>
      <c r="AI113" s="182"/>
      <c r="AJ113" s="182"/>
      <c r="AK113" s="182"/>
      <c r="AL113" s="182"/>
      <c r="AM113" s="182"/>
      <c r="AN113" s="182"/>
      <c r="AO113" s="145"/>
      <c r="AP113" s="97">
        <f ca="1">TblProd[[#This Row],[Platinum]]</f>
        <v>718852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45309.541666666402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1240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45309.583333333067</v>
      </c>
      <c r="AG114" s="182"/>
      <c r="AH114" s="182"/>
      <c r="AI114" s="182"/>
      <c r="AJ114" s="182"/>
      <c r="AK114" s="182"/>
      <c r="AL114" s="182"/>
      <c r="AM114" s="182"/>
      <c r="AN114" s="182"/>
      <c r="AO114" s="145"/>
      <c r="AP114" s="97">
        <f ca="1">TblProd[[#This Row],[Platinum]]</f>
        <v>724338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45309.583333333067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1240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45309.624999999731</v>
      </c>
      <c r="AG115" s="182"/>
      <c r="AH115" s="182"/>
      <c r="AI115" s="182"/>
      <c r="AJ115" s="182"/>
      <c r="AK115" s="182"/>
      <c r="AL115" s="182"/>
      <c r="AM115" s="182"/>
      <c r="AN115" s="182"/>
      <c r="AO115" s="145"/>
      <c r="AP115" s="97">
        <f ca="1">TblProd[[#This Row],[Platinum]]</f>
        <v>729824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45309.624999999731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1240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45309.666666666395</v>
      </c>
      <c r="AG116" s="182"/>
      <c r="AH116" s="182"/>
      <c r="AI116" s="182"/>
      <c r="AJ116" s="182"/>
      <c r="AK116" s="182"/>
      <c r="AL116" s="182"/>
      <c r="AM116" s="182"/>
      <c r="AN116" s="182"/>
      <c r="AO116" s="145"/>
      <c r="AP116" s="97">
        <f ca="1">TblProd[[#This Row],[Platinum]]</f>
        <v>735310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45309.666666666395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1240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45309.708333333059</v>
      </c>
      <c r="AG117" s="182"/>
      <c r="AH117" s="182"/>
      <c r="AI117" s="182"/>
      <c r="AJ117" s="182"/>
      <c r="AK117" s="182"/>
      <c r="AL117" s="182"/>
      <c r="AM117" s="182"/>
      <c r="AN117" s="182"/>
      <c r="AO117" s="145"/>
      <c r="AP117" s="97">
        <f ca="1">TblProd[[#This Row],[Platinum]]</f>
        <v>740796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45309.708333333059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1240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45309.749999999724</v>
      </c>
      <c r="AG118" s="182"/>
      <c r="AH118" s="182"/>
      <c r="AI118" s="182"/>
      <c r="AJ118" s="182"/>
      <c r="AK118" s="182"/>
      <c r="AL118" s="182"/>
      <c r="AM118" s="182"/>
      <c r="AN118" s="182"/>
      <c r="AO118" s="145"/>
      <c r="AP118" s="97">
        <f ca="1">TblProd[[#This Row],[Platinum]]</f>
        <v>746282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45309.749999999724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1240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45309.791666666388</v>
      </c>
      <c r="AG119" s="182"/>
      <c r="AH119" s="182"/>
      <c r="AI119" s="182"/>
      <c r="AJ119" s="182"/>
      <c r="AK119" s="182"/>
      <c r="AL119" s="182"/>
      <c r="AM119" s="182"/>
      <c r="AN119" s="182"/>
      <c r="AO119" s="145"/>
      <c r="AP119" s="97">
        <f ca="1">TblProd[[#This Row],[Platinum]]</f>
        <v>751768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45309.791666666388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1240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45309.833333333052</v>
      </c>
      <c r="AG120" s="182"/>
      <c r="AH120" s="182"/>
      <c r="AI120" s="182"/>
      <c r="AJ120" s="182"/>
      <c r="AK120" s="182"/>
      <c r="AL120" s="182"/>
      <c r="AM120" s="182"/>
      <c r="AN120" s="182"/>
      <c r="AO120" s="145"/>
      <c r="AP120" s="97">
        <f ca="1">TblProd[[#This Row],[Platinum]]</f>
        <v>757254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45309.833333333052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1240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45309.874999999716</v>
      </c>
      <c r="AG121" s="182"/>
      <c r="AH121" s="182"/>
      <c r="AI121" s="182"/>
      <c r="AJ121" s="182"/>
      <c r="AK121" s="182"/>
      <c r="AL121" s="182"/>
      <c r="AM121" s="182"/>
      <c r="AN121" s="182"/>
      <c r="AO121" s="145"/>
      <c r="AP121" s="97">
        <f ca="1">TblProd[[#This Row],[Platinum]]</f>
        <v>762740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45309.874999999716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1240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45309.91666666638</v>
      </c>
      <c r="AG122" s="182"/>
      <c r="AH122" s="182"/>
      <c r="AI122" s="182"/>
      <c r="AJ122" s="182"/>
      <c r="AK122" s="182"/>
      <c r="AL122" s="182"/>
      <c r="AM122" s="182"/>
      <c r="AN122" s="182"/>
      <c r="AO122" s="145"/>
      <c r="AP122" s="97">
        <f ca="1">TblProd[[#This Row],[Platinum]]</f>
        <v>768226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45309.91666666638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1240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45309.958333333045</v>
      </c>
      <c r="AG123" s="182"/>
      <c r="AH123" s="182"/>
      <c r="AI123" s="182"/>
      <c r="AJ123" s="182"/>
      <c r="AK123" s="182"/>
      <c r="AL123" s="182"/>
      <c r="AM123" s="182"/>
      <c r="AN123" s="182"/>
      <c r="AO123" s="145"/>
      <c r="AP123" s="97">
        <f ca="1">TblProd[[#This Row],[Platinum]]</f>
        <v>773712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45309.958333333045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1240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45309.999999999709</v>
      </c>
      <c r="AG124" s="182"/>
      <c r="AH124" s="182"/>
      <c r="AI124" s="182"/>
      <c r="AJ124" s="182"/>
      <c r="AK124" s="182"/>
      <c r="AL124" s="182"/>
      <c r="AM124" s="182"/>
      <c r="AN124" s="182"/>
      <c r="AO124" s="145"/>
      <c r="AP124" s="97">
        <f ca="1">TblProd[[#This Row],[Platinum]]</f>
        <v>779198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45309.999999999709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1240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45310.041666666373</v>
      </c>
      <c r="AG125" s="161"/>
      <c r="AH125" s="182"/>
      <c r="AI125" s="161"/>
      <c r="AJ125" s="182"/>
      <c r="AK125" s="182"/>
      <c r="AL125" s="182"/>
      <c r="AM125" s="182"/>
      <c r="AN125" s="182"/>
      <c r="AO125" s="145"/>
      <c r="AP125" s="97">
        <f ca="1">TblProd[[#This Row],[Platinum]]</f>
        <v>784684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45310.041666666373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1240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45310.083333333037</v>
      </c>
      <c r="AG126" s="182"/>
      <c r="AH126" s="182"/>
      <c r="AI126" s="182"/>
      <c r="AJ126" s="182"/>
      <c r="AK126" s="182"/>
      <c r="AL126" s="182"/>
      <c r="AM126" s="182"/>
      <c r="AN126" s="182"/>
      <c r="AO126" s="145"/>
      <c r="AP126" s="97">
        <f ca="1">TblProd[[#This Row],[Platinum]]</f>
        <v>790170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45310.083333333037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1240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45310.124999999702</v>
      </c>
      <c r="AG127" s="182"/>
      <c r="AH127" s="182"/>
      <c r="AI127" s="182"/>
      <c r="AJ127" s="182"/>
      <c r="AK127" s="182"/>
      <c r="AL127" s="182"/>
      <c r="AM127" s="182"/>
      <c r="AN127" s="182"/>
      <c r="AO127" s="145"/>
      <c r="AP127" s="97">
        <f ca="1">TblProd[[#This Row],[Platinum]]</f>
        <v>795656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45310.124999999702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1240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45310.166666666366</v>
      </c>
      <c r="AG128" s="182"/>
      <c r="AH128" s="182"/>
      <c r="AI128" s="182"/>
      <c r="AJ128" s="182"/>
      <c r="AK128" s="182"/>
      <c r="AL128" s="182"/>
      <c r="AM128" s="182"/>
      <c r="AN128" s="182"/>
      <c r="AO128" s="145"/>
      <c r="AP128" s="97">
        <f ca="1">TblProd[[#This Row],[Platinum]]</f>
        <v>801142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45310.166666666366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1240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45310.20833333303</v>
      </c>
      <c r="AG129" s="182"/>
      <c r="AH129" s="182"/>
      <c r="AI129" s="182"/>
      <c r="AJ129" s="182"/>
      <c r="AK129" s="182"/>
      <c r="AL129" s="182"/>
      <c r="AM129" s="182"/>
      <c r="AN129" s="182"/>
      <c r="AO129" s="145"/>
      <c r="AP129" s="97">
        <f ca="1">TblProd[[#This Row],[Platinum]]</f>
        <v>806628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45310.20833333303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1240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45310.249999999694</v>
      </c>
      <c r="AG130" s="182"/>
      <c r="AH130" s="182"/>
      <c r="AI130" s="182"/>
      <c r="AJ130" s="182"/>
      <c r="AK130" s="182"/>
      <c r="AL130" s="182"/>
      <c r="AM130" s="182"/>
      <c r="AN130" s="182"/>
      <c r="AO130" s="145"/>
      <c r="AP130" s="97">
        <f ca="1">TblProd[[#This Row],[Platinum]]</f>
        <v>812114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45310.249999999694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1240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45310.291666666359</v>
      </c>
      <c r="AG131" s="182"/>
      <c r="AH131" s="182"/>
      <c r="AI131" s="182"/>
      <c r="AJ131" s="182"/>
      <c r="AK131" s="182"/>
      <c r="AL131" s="182"/>
      <c r="AM131" s="182"/>
      <c r="AN131" s="182"/>
      <c r="AO131" s="145"/>
      <c r="AP131" s="97">
        <f ca="1">TblProd[[#This Row],[Platinum]]</f>
        <v>817600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45310.291666666359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1240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45310.333333333023</v>
      </c>
      <c r="AG132" s="182"/>
      <c r="AH132" s="182"/>
      <c r="AI132" s="182"/>
      <c r="AJ132" s="182"/>
      <c r="AK132" s="182"/>
      <c r="AL132" s="182"/>
      <c r="AM132" s="182"/>
      <c r="AN132" s="182"/>
      <c r="AO132" s="145"/>
      <c r="AP132" s="97">
        <f ca="1">TblProd[[#This Row],[Platinum]]</f>
        <v>823086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45310.333333333023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1240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45310.374999999687</v>
      </c>
      <c r="AG133" s="182"/>
      <c r="AH133" s="182"/>
      <c r="AI133" s="182"/>
      <c r="AJ133" s="182"/>
      <c r="AK133" s="182"/>
      <c r="AL133" s="182"/>
      <c r="AM133" s="182"/>
      <c r="AN133" s="182"/>
      <c r="AO133" s="145"/>
      <c r="AP133" s="97">
        <f ca="1">TblProd[[#This Row],[Platinum]]</f>
        <v>828572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45310.374999999687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1240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45310.416666666351</v>
      </c>
      <c r="AG134" s="182"/>
      <c r="AH134" s="182"/>
      <c r="AI134" s="182"/>
      <c r="AJ134" s="182"/>
      <c r="AK134" s="182"/>
      <c r="AL134" s="182"/>
      <c r="AM134" s="182"/>
      <c r="AN134" s="182"/>
      <c r="AO134" s="145"/>
      <c r="AP134" s="97">
        <f ca="1">TblProd[[#This Row],[Platinum]]</f>
        <v>834058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45310.416666666351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1240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45310.458333333016</v>
      </c>
      <c r="AG135" s="182"/>
      <c r="AH135" s="182"/>
      <c r="AI135" s="182"/>
      <c r="AJ135" s="182"/>
      <c r="AK135" s="182"/>
      <c r="AL135" s="182"/>
      <c r="AM135" s="182"/>
      <c r="AN135" s="182"/>
      <c r="AO135" s="145"/>
      <c r="AP135" s="97">
        <f ca="1">TblProd[[#This Row],[Platinum]]</f>
        <v>839544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45310.458333333016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1240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45310.49999999968</v>
      </c>
      <c r="AG136" s="182"/>
      <c r="AH136" s="161"/>
      <c r="AI136" s="182"/>
      <c r="AJ136" s="161"/>
      <c r="AK136" s="161"/>
      <c r="AL136" s="161"/>
      <c r="AM136" s="161"/>
      <c r="AN136" s="182"/>
      <c r="AO136" s="145"/>
      <c r="AP136" s="97">
        <f ca="1">TblProd[[#This Row],[Platinum]]</f>
        <v>845030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45310.49999999968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1240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27" priority="37" stopIfTrue="1">
      <formula>ROW()-2=#REF!</formula>
    </cfRule>
  </conditionalFormatting>
  <conditionalFormatting sqref="A1269:DF1270">
    <cfRule type="expression" dxfId="26" priority="38" stopIfTrue="1">
      <formula>$B$1270&gt;144</formula>
    </cfRule>
  </conditionalFormatting>
  <conditionalFormatting sqref="A4:DF136">
    <cfRule type="expression" dxfId="25" priority="1" stopIfTrue="1">
      <formula>ROW()-3=$B$1270</formula>
    </cfRule>
    <cfRule type="expression" dxfId="24" priority="2" stopIfTrue="1">
      <formula>OR(ROW()-3=$B$1270,A4&lt;0)</formula>
    </cfRule>
    <cfRule type="expression" dxfId="23" priority="35">
      <formula>$A4=73</formula>
    </cfRule>
  </conditionalFormatting>
  <conditionalFormatting sqref="A3:DF136">
    <cfRule type="expression" dxfId="22" priority="39">
      <formula>ROUND(($A3-1)/12,0)=INT($A3-1)/12</formula>
    </cfRule>
  </conditionalFormatting>
  <conditionalFormatting sqref="A1:XFD3">
    <cfRule type="expression" dxfId="21"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1090</v>
      </c>
      <c r="U1" s="257"/>
      <c r="X1" s="28" t="s">
        <v>33</v>
      </c>
      <c r="AA1" s="28" t="s">
        <v>207</v>
      </c>
      <c r="AF1" s="28" t="s">
        <v>91</v>
      </c>
      <c r="AG1" s="28" t="s">
        <v>94</v>
      </c>
      <c r="AH1" s="28" t="s">
        <v>93</v>
      </c>
      <c r="AI1" s="28" t="s">
        <v>363</v>
      </c>
      <c r="AJ1" s="28" t="s">
        <v>92</v>
      </c>
      <c r="AK1" s="28" t="s">
        <v>103</v>
      </c>
      <c r="AL1" s="28" t="s">
        <v>331</v>
      </c>
      <c r="AM1" s="28" t="s">
        <v>345</v>
      </c>
      <c r="AN1" s="28" t="s">
        <v>501</v>
      </c>
    </row>
    <row r="2" spans="1:41" s="28" customFormat="1" x14ac:dyDescent="0.2">
      <c r="G2" s="28" t="s">
        <v>197</v>
      </c>
      <c r="L2" s="257" t="s">
        <v>538</v>
      </c>
      <c r="M2" s="284" t="s">
        <v>94</v>
      </c>
      <c r="N2" s="284" t="s">
        <v>93</v>
      </c>
      <c r="O2" s="503"/>
      <c r="P2" s="257" t="s">
        <v>92</v>
      </c>
      <c r="Q2" s="257" t="s">
        <v>103</v>
      </c>
      <c r="R2" s="257" t="s">
        <v>331</v>
      </c>
      <c r="S2" s="257" t="s">
        <v>345</v>
      </c>
      <c r="T2" s="257" t="s">
        <v>501</v>
      </c>
      <c r="U2" s="257" t="s">
        <v>90</v>
      </c>
      <c r="V2" s="257" t="s">
        <v>503</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530</v>
      </c>
      <c r="N3" s="285" t="s">
        <v>264</v>
      </c>
      <c r="O3" s="138" t="s">
        <v>1091</v>
      </c>
      <c r="P3" s="138" t="s">
        <v>300</v>
      </c>
      <c r="Q3" s="138" t="s">
        <v>337</v>
      </c>
      <c r="R3" s="138" t="s">
        <v>1092</v>
      </c>
      <c r="S3" s="138" t="s">
        <v>343</v>
      </c>
      <c r="T3" s="138" t="s">
        <v>427</v>
      </c>
      <c r="U3" s="138" t="s">
        <v>1085</v>
      </c>
      <c r="V3" s="138" t="s">
        <v>504</v>
      </c>
      <c r="W3" s="138" t="s">
        <v>775</v>
      </c>
      <c r="X3" s="138" t="s">
        <v>923</v>
      </c>
      <c r="Y3" s="138" t="s">
        <v>924</v>
      </c>
      <c r="Z3" s="138" t="s">
        <v>776</v>
      </c>
      <c r="AA3" s="138" t="s">
        <v>925</v>
      </c>
      <c r="AB3" s="138" t="s">
        <v>926</v>
      </c>
      <c r="AC3" s="138" t="s">
        <v>927</v>
      </c>
      <c r="AD3" s="138" t="s">
        <v>928</v>
      </c>
      <c r="AE3" s="138" t="s">
        <v>929</v>
      </c>
      <c r="AF3" s="138" t="s">
        <v>932</v>
      </c>
      <c r="AG3" s="138" t="s">
        <v>933</v>
      </c>
      <c r="AH3" s="138" t="s">
        <v>934</v>
      </c>
      <c r="AI3" s="138" t="s">
        <v>930</v>
      </c>
      <c r="AJ3" s="138" t="s">
        <v>935</v>
      </c>
      <c r="AK3" s="138" t="s">
        <v>936</v>
      </c>
      <c r="AL3" s="138" t="s">
        <v>1101</v>
      </c>
      <c r="AM3" s="138" t="s">
        <v>937</v>
      </c>
      <c r="AN3" s="138" t="s">
        <v>931</v>
      </c>
      <c r="AO3" s="439" t="s">
        <v>1086</v>
      </c>
    </row>
    <row r="4" spans="1:41" x14ac:dyDescent="0.2">
      <c r="A4" s="140">
        <f>TblRezone[[#This Row],[Hour]]</f>
        <v>1</v>
      </c>
      <c r="B4" s="157">
        <f ca="1">TblConstr[[#This Row],[Land]]</f>
        <v>250</v>
      </c>
      <c r="C4" s="97">
        <f ca="1">TblProd[[#This Row],[Mana]]</f>
        <v>0</v>
      </c>
      <c r="D4" s="424">
        <f>1-TblMagic[[#This Row],[Wiz str cost]]</f>
        <v>1</v>
      </c>
      <c r="E4" s="162">
        <f>Imps!L4</f>
        <v>45305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45305.041666666664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45305.083333333328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45305.124999999993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45305.166666666657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45305.208333333321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45305.249999999985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45305.29166666665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45305.333333333314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45305.374999999978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45305.416666666642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45305.458333333307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45305.499999999971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45305.541666666635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45305.583333333299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45305.624999999964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45305.666666666628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45305.708333333292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45305.749999999956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45305.791666666621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45305.833333333285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45305.874999999949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45305.916666666613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45305.958333333278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45305.999999999942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45306.041666666606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45306.08333333327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45306.124999999935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45306.166666666599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45306.208333333263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45306.249999999927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45306.291666666591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45306.333333333256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45306.37499999992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45306.416666666584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45306.458333333248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45306.499999999913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45306.541666666577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45306.583333333241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45306.624999999905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45306.66666666657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45306.708333333234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45306.749999999898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45306.791666666562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45306.833333333227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45306.874999999891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45306.916666666555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45306.958333333219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45306.999999999884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45307.041666666548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45307.083333333212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45307.124999999876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45307.166666666541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45307.208333333205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45307.249999999869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45307.291666666533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45307.333333333198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45307.374999999862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45307.416666666526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45307.45833333319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45307.499999999854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45307.541666666519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45307.583333333183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45307.624999999847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45307.666666666511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45307.708333333176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45307.74999999984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45307.791666666504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45307.833333333168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45307.874999999833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45307.916666666497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45307.958333333161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45307.999999999825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45308.04166666649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45308.083333333154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45308.124999999818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45308.166666666482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45308.208333333147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45308.249999999811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45308.291666666475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45308.333333333139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45308.374999999804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45308.416666666468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45308.458333333132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45308.499999999796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45308.541666666461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45308.583333333125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45308.624999999789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45308.666666666453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45308.708333333117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45308.749999999782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45308.791666666446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45308.83333333311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45308.874999999774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45308.916666666439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45308.958333333103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45308.999999999767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45309.041666666431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45309.083333333096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45309.12499999976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45309.166666666424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45309.208333333088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45309.249999999753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45309.291666666417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45309.333333333081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45309.374999999745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45309.41666666641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45309.458333333074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45309.499999999738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45309.541666666402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45309.583333333067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45309.624999999731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45309.666666666395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45309.708333333059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45309.749999999724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45309.791666666388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45309.833333333052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45309.874999999716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45309.91666666638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45309.958333333045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45309.999999999709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45310.041666666373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45310.083333333037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45310.124999999702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45310.166666666366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45310.20833333303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45310.249999999694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45310.291666666359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45310.333333333023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45310.374999999687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45310.416666666351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45310.458333333016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45310.49999999968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49"/>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0" priority="17" stopIfTrue="1">
      <formula>ROW()-2=#REF!</formula>
    </cfRule>
  </conditionalFormatting>
  <conditionalFormatting sqref="A1269:XFD1270">
    <cfRule type="expression" dxfId="19" priority="18" stopIfTrue="1">
      <formula>$C$1270&gt;144</formula>
    </cfRule>
  </conditionalFormatting>
  <conditionalFormatting sqref="A4:AO136">
    <cfRule type="expression" dxfId="18" priority="1" stopIfTrue="1">
      <formula>ROW()-3=$C$1270</formula>
    </cfRule>
    <cfRule type="expression" dxfId="17" priority="2" stopIfTrue="1">
      <formula>OR(ROW()-3=$C$1270,A4&lt;0)</formula>
    </cfRule>
    <cfRule type="expression" dxfId="16" priority="3">
      <formula>$A4=73</formula>
    </cfRule>
    <cfRule type="expression" dxfId="15" priority="11">
      <formula>ROUND(($A4-1)/12,0)=INT($A4-1)/12</formula>
    </cfRule>
  </conditionalFormatting>
  <conditionalFormatting sqref="G16:V136">
    <cfRule type="expression" dxfId="14" priority="12">
      <formula>COUNTA(G5:G16)&gt;0</formula>
    </cfRule>
  </conditionalFormatting>
  <conditionalFormatting sqref="A3:XFD3 A2:N2 A1:S1 U1:XFD1 P2:XFD2">
    <cfRule type="expression" dxfId="13"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1010</v>
      </c>
      <c r="F2" s="304">
        <f>IFERROR(SMALL(TblTech[Activate @ hour],1),0)</f>
        <v>0</v>
      </c>
      <c r="G2" s="45" t="s">
        <v>1073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775</v>
      </c>
      <c r="F3" s="290" t="s">
        <v>1011</v>
      </c>
      <c r="G3" s="290" t="s">
        <v>938</v>
      </c>
      <c r="H3" s="290" t="s">
        <v>982</v>
      </c>
      <c r="I3" s="290" t="s">
        <v>983</v>
      </c>
      <c r="J3" s="290" t="s">
        <v>776</v>
      </c>
      <c r="K3" s="258" t="s">
        <v>777</v>
      </c>
      <c r="L3" s="290" t="s">
        <v>939</v>
      </c>
      <c r="M3" s="224" t="s">
        <v>539</v>
      </c>
      <c r="N3" s="224" t="s">
        <v>541</v>
      </c>
      <c r="O3" s="224" t="s">
        <v>542</v>
      </c>
      <c r="P3" s="224" t="s">
        <v>544</v>
      </c>
      <c r="Q3" s="224" t="s">
        <v>546</v>
      </c>
      <c r="R3" s="224" t="s">
        <v>547</v>
      </c>
      <c r="S3" s="224" t="s">
        <v>548</v>
      </c>
      <c r="T3" s="224" t="s">
        <v>549</v>
      </c>
      <c r="U3" s="224" t="s">
        <v>550</v>
      </c>
      <c r="V3" s="224" t="s">
        <v>552</v>
      </c>
      <c r="W3" s="224" t="s">
        <v>554</v>
      </c>
      <c r="X3" s="224" t="s">
        <v>555</v>
      </c>
      <c r="Y3" s="224" t="s">
        <v>556</v>
      </c>
      <c r="Z3" s="224" t="s">
        <v>557</v>
      </c>
      <c r="AA3" s="224" t="s">
        <v>559</v>
      </c>
      <c r="AB3" s="224" t="s">
        <v>560</v>
      </c>
      <c r="AC3" s="224" t="s">
        <v>561</v>
      </c>
      <c r="AD3" s="224" t="s">
        <v>563</v>
      </c>
      <c r="AE3" s="224" t="s">
        <v>565</v>
      </c>
      <c r="AF3" s="224" t="s">
        <v>566</v>
      </c>
      <c r="AG3" s="224" t="s">
        <v>567</v>
      </c>
      <c r="AH3" s="224" t="s">
        <v>569</v>
      </c>
      <c r="AI3" s="224" t="s">
        <v>571</v>
      </c>
      <c r="AJ3" s="224" t="s">
        <v>573</v>
      </c>
      <c r="AK3" s="224" t="s">
        <v>574</v>
      </c>
      <c r="AL3" s="224" t="s">
        <v>575</v>
      </c>
      <c r="AM3" s="224" t="s">
        <v>576</v>
      </c>
      <c r="AN3" s="224" t="s">
        <v>577</v>
      </c>
      <c r="AO3" s="224" t="s">
        <v>578</v>
      </c>
      <c r="AP3" s="224" t="s">
        <v>580</v>
      </c>
      <c r="AQ3" s="224" t="s">
        <v>582</v>
      </c>
      <c r="AR3" s="224" t="s">
        <v>583</v>
      </c>
      <c r="AS3" s="224" t="s">
        <v>584</v>
      </c>
      <c r="AT3" s="224" t="s">
        <v>585</v>
      </c>
      <c r="AU3" s="224" t="s">
        <v>586</v>
      </c>
      <c r="AV3" s="224" t="s">
        <v>587</v>
      </c>
      <c r="AW3" s="224" t="s">
        <v>589</v>
      </c>
      <c r="AX3" s="224" t="s">
        <v>590</v>
      </c>
      <c r="AY3" s="224" t="s">
        <v>591</v>
      </c>
      <c r="AZ3" s="224" t="s">
        <v>592</v>
      </c>
      <c r="BA3" s="224" t="s">
        <v>593</v>
      </c>
      <c r="BB3" s="224" t="s">
        <v>594</v>
      </c>
      <c r="BC3" s="224" t="s">
        <v>595</v>
      </c>
      <c r="BD3" s="224" t="s">
        <v>596</v>
      </c>
      <c r="BE3" s="224" t="s">
        <v>597</v>
      </c>
      <c r="BF3" s="224" t="s">
        <v>598</v>
      </c>
      <c r="BG3" s="224" t="s">
        <v>599</v>
      </c>
      <c r="BH3" s="224" t="s">
        <v>601</v>
      </c>
      <c r="BI3" s="224" t="s">
        <v>602</v>
      </c>
      <c r="BJ3" s="224" t="s">
        <v>604</v>
      </c>
      <c r="BK3" s="224" t="s">
        <v>605</v>
      </c>
      <c r="BL3" s="224" t="s">
        <v>606</v>
      </c>
      <c r="BM3" s="224" t="s">
        <v>608</v>
      </c>
      <c r="BN3" s="224" t="s">
        <v>610</v>
      </c>
      <c r="BO3" s="224" t="s">
        <v>611</v>
      </c>
      <c r="BP3" s="224" t="s">
        <v>612</v>
      </c>
      <c r="BQ3" s="224" t="s">
        <v>614</v>
      </c>
      <c r="BR3" s="224" t="s">
        <v>615</v>
      </c>
      <c r="BS3" s="224" t="s">
        <v>617</v>
      </c>
      <c r="BT3" s="224" t="s">
        <v>619</v>
      </c>
      <c r="BU3" s="224" t="s">
        <v>620</v>
      </c>
      <c r="BV3" s="224" t="s">
        <v>622</v>
      </c>
      <c r="BW3" s="224" t="s">
        <v>623</v>
      </c>
      <c r="BX3" s="224" t="s">
        <v>624</v>
      </c>
      <c r="BY3" s="224" t="s">
        <v>626</v>
      </c>
      <c r="BZ3" s="224" t="s">
        <v>627</v>
      </c>
      <c r="CA3" s="224" t="s">
        <v>682</v>
      </c>
    </row>
    <row r="4" spans="1:79" x14ac:dyDescent="0.2">
      <c r="A4" s="291">
        <f>TblRezone[[#This Row],[Hour]]</f>
        <v>1</v>
      </c>
      <c r="B4" s="292">
        <f ca="1">TblExplore[[#This Row],[Land-DB]]</f>
        <v>250</v>
      </c>
      <c r="C4" s="293">
        <f ca="1">TblProd[[#This Row],[Techpoints]]</f>
        <v>0</v>
      </c>
      <c r="D4" s="293">
        <f ca="1">TblProd[[#This Row],[Required]]</f>
        <v>3750</v>
      </c>
      <c r="E4" s="294"/>
      <c r="F4" s="295"/>
      <c r="G4" s="296" t="s">
        <v>539</v>
      </c>
      <c r="H4" s="297" t="s">
        <v>683</v>
      </c>
      <c r="I4" s="296" t="s">
        <v>540</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541</v>
      </c>
      <c r="H5" s="297" t="s">
        <v>684</v>
      </c>
      <c r="I5" s="296" t="s">
        <v>1111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542</v>
      </c>
      <c r="H6" s="297" t="s">
        <v>685</v>
      </c>
      <c r="I6" s="296" t="s">
        <v>543</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544</v>
      </c>
      <c r="H7" s="297" t="s">
        <v>686</v>
      </c>
      <c r="I7" s="296" t="s">
        <v>545</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546</v>
      </c>
      <c r="H8" s="297" t="s">
        <v>687</v>
      </c>
      <c r="I8" s="296" t="s">
        <v>1108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547</v>
      </c>
      <c r="H9" s="297" t="s">
        <v>698</v>
      </c>
      <c r="I9" s="296" t="s">
        <v>562</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548</v>
      </c>
      <c r="H10" s="297" t="s">
        <v>727</v>
      </c>
      <c r="I10" s="296" t="s">
        <v>742</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549</v>
      </c>
      <c r="H11" s="297" t="s">
        <v>690</v>
      </c>
      <c r="I11" s="296" t="s">
        <v>1057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550</v>
      </c>
      <c r="H12" s="297" t="s">
        <v>709</v>
      </c>
      <c r="I12" s="296" t="s">
        <v>581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552</v>
      </c>
      <c r="H13" s="297" t="s">
        <v>691</v>
      </c>
      <c r="I13" s="296" t="s">
        <v>551</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554</v>
      </c>
      <c r="H14" s="297" t="s">
        <v>1067</v>
      </c>
      <c r="I14" s="296" t="s">
        <v>743</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555</v>
      </c>
      <c r="H16" s="297" t="s">
        <v>693</v>
      </c>
      <c r="I16" s="296" t="s">
        <v>751</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556</v>
      </c>
      <c r="H17" s="297" t="s">
        <v>694</v>
      </c>
      <c r="I17" s="296" t="s">
        <v>752</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557</v>
      </c>
      <c r="H18" s="297" t="s">
        <v>695</v>
      </c>
      <c r="I18" s="296" t="s">
        <v>1104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559</v>
      </c>
      <c r="H19" s="297" t="s">
        <v>696</v>
      </c>
      <c r="I19" s="296" t="s">
        <v>1110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560</v>
      </c>
      <c r="H20" s="297" t="s">
        <v>697</v>
      </c>
      <c r="I20" s="296" t="s">
        <v>1058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561</v>
      </c>
      <c r="H21" s="297" t="s">
        <v>689</v>
      </c>
      <c r="I21" s="296" t="s">
        <v>1106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563</v>
      </c>
      <c r="H22" s="297" t="s">
        <v>716</v>
      </c>
      <c r="I22" s="296" t="s">
        <v>1059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565</v>
      </c>
      <c r="H23" s="297" t="s">
        <v>700</v>
      </c>
      <c r="I23" s="296" t="s">
        <v>744</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566</v>
      </c>
      <c r="H24" s="297" t="s">
        <v>701</v>
      </c>
      <c r="I24" s="296" t="s">
        <v>745</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567</v>
      </c>
      <c r="H25" s="297" t="s">
        <v>702</v>
      </c>
      <c r="I25" s="296" t="s">
        <v>568</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569</v>
      </c>
      <c r="H27" s="297" t="s">
        <v>703</v>
      </c>
      <c r="I27" s="296" t="s">
        <v>570</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571</v>
      </c>
      <c r="H28" s="297" t="s">
        <v>704</v>
      </c>
      <c r="I28" s="296" t="s">
        <v>572</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573</v>
      </c>
      <c r="H29" s="297" t="s">
        <v>705</v>
      </c>
      <c r="I29" s="296" t="s">
        <v>1112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574</v>
      </c>
      <c r="H30" s="297" t="s">
        <v>706</v>
      </c>
      <c r="I30" s="296" t="s">
        <v>1105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575</v>
      </c>
      <c r="H31" s="297" t="s">
        <v>688</v>
      </c>
      <c r="I31" s="296" t="s">
        <v>1060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576</v>
      </c>
      <c r="H32" s="297" t="s">
        <v>699</v>
      </c>
      <c r="I32" s="296" t="s">
        <v>564</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577</v>
      </c>
      <c r="H33" s="297" t="s">
        <v>707</v>
      </c>
      <c r="I33" s="296" t="s">
        <v>746</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578</v>
      </c>
      <c r="H34" s="297" t="s">
        <v>708</v>
      </c>
      <c r="I34" s="296" t="s">
        <v>579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580</v>
      </c>
      <c r="H35" s="297" t="s">
        <v>692</v>
      </c>
      <c r="I35" s="296" t="s">
        <v>553</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582</v>
      </c>
      <c r="H37" s="297" t="s">
        <v>710</v>
      </c>
      <c r="I37" s="296" t="s">
        <v>760</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583</v>
      </c>
      <c r="H38" s="297" t="s">
        <v>711</v>
      </c>
      <c r="I38" s="296" t="s">
        <v>630</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584</v>
      </c>
      <c r="H39" s="297" t="s">
        <v>712</v>
      </c>
      <c r="I39" s="296" t="s">
        <v>1061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585</v>
      </c>
      <c r="H40" s="297" t="s">
        <v>713</v>
      </c>
      <c r="I40" s="296" t="s">
        <v>1109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586</v>
      </c>
      <c r="H41" s="297" t="s">
        <v>1066</v>
      </c>
      <c r="I41" s="296" t="s">
        <v>1062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587</v>
      </c>
      <c r="H42" s="297" t="s">
        <v>715</v>
      </c>
      <c r="I42" s="296" t="s">
        <v>1104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589</v>
      </c>
      <c r="H43" s="297" t="s">
        <v>1068</v>
      </c>
      <c r="I43" s="296" t="s">
        <v>747</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590</v>
      </c>
      <c r="H44" s="297" t="s">
        <v>714</v>
      </c>
      <c r="I44" s="296" t="s">
        <v>588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591</v>
      </c>
      <c r="H46" s="297" t="s">
        <v>718</v>
      </c>
      <c r="I46" s="296" t="s">
        <v>1063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592</v>
      </c>
      <c r="H47" s="297" t="s">
        <v>717</v>
      </c>
      <c r="I47" s="296" t="s">
        <v>1107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593</v>
      </c>
      <c r="H48" s="297" t="s">
        <v>719</v>
      </c>
      <c r="I48" s="296" t="s">
        <v>1060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594</v>
      </c>
      <c r="H49" s="297" t="s">
        <v>720</v>
      </c>
      <c r="I49" s="296" t="s">
        <v>631</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595</v>
      </c>
      <c r="H50" s="297" t="s">
        <v>721</v>
      </c>
      <c r="I50" s="296" t="s">
        <v>1060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596</v>
      </c>
      <c r="H51" s="297" t="s">
        <v>395</v>
      </c>
      <c r="I51" s="296" t="s">
        <v>1064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597</v>
      </c>
      <c r="H52" s="297" t="s">
        <v>723</v>
      </c>
      <c r="I52" s="296" t="s">
        <v>632</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598</v>
      </c>
      <c r="H54" s="297" t="s">
        <v>722</v>
      </c>
      <c r="I54" s="296" t="s">
        <v>1125</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599</v>
      </c>
      <c r="H55" s="297" t="s">
        <v>725</v>
      </c>
      <c r="I55" s="296" t="s">
        <v>600</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601</v>
      </c>
      <c r="H56" s="297" t="s">
        <v>1069</v>
      </c>
      <c r="I56" s="296" t="s">
        <v>1113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602</v>
      </c>
      <c r="H57" s="297" t="s">
        <v>726</v>
      </c>
      <c r="I57" s="296" t="s">
        <v>603</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604</v>
      </c>
      <c r="H58" s="297" t="s">
        <v>724</v>
      </c>
      <c r="I58" s="296" t="s">
        <v>564</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605</v>
      </c>
      <c r="H59" s="297" t="s">
        <v>728</v>
      </c>
      <c r="I59" s="296" t="s">
        <v>748</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606</v>
      </c>
      <c r="H61" s="297" t="s">
        <v>729</v>
      </c>
      <c r="I61" s="296" t="s">
        <v>607</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608</v>
      </c>
      <c r="H62" s="297" t="s">
        <v>733</v>
      </c>
      <c r="I62" s="296" t="s">
        <v>1065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610</v>
      </c>
      <c r="H63" s="297" t="s">
        <v>1070</v>
      </c>
      <c r="I63" s="296" t="s">
        <v>749</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611</v>
      </c>
      <c r="H64" s="297" t="s">
        <v>731</v>
      </c>
      <c r="I64" s="296" t="s">
        <v>633</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612</v>
      </c>
      <c r="H65" s="297" t="s">
        <v>732</v>
      </c>
      <c r="I65" s="296" t="s">
        <v>613</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614</v>
      </c>
      <c r="H67" s="297" t="s">
        <v>1071</v>
      </c>
      <c r="I67" s="296" t="s">
        <v>750</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615</v>
      </c>
      <c r="H68" s="297" t="s">
        <v>734</v>
      </c>
      <c r="I68" s="296" t="s">
        <v>616</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617</v>
      </c>
      <c r="H69" s="297" t="s">
        <v>735</v>
      </c>
      <c r="I69" s="296" t="s">
        <v>618</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619</v>
      </c>
      <c r="H70" s="297" t="s">
        <v>736</v>
      </c>
      <c r="I70" s="296" t="s">
        <v>761</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620</v>
      </c>
      <c r="H72" s="297" t="s">
        <v>737</v>
      </c>
      <c r="I72" s="296" t="s">
        <v>621</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622</v>
      </c>
      <c r="H73" s="297" t="s">
        <v>738</v>
      </c>
      <c r="I73" s="296" t="s">
        <v>558</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623</v>
      </c>
      <c r="H74" s="297" t="s">
        <v>739</v>
      </c>
      <c r="I74" s="296" t="s">
        <v>762</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624</v>
      </c>
      <c r="H76" s="297" t="s">
        <v>730</v>
      </c>
      <c r="I76" s="296" t="s">
        <v>609</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626</v>
      </c>
      <c r="H77" s="297" t="s">
        <v>740</v>
      </c>
      <c r="I77" s="296" t="s">
        <v>625</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627</v>
      </c>
      <c r="H79" s="297" t="s">
        <v>741</v>
      </c>
      <c r="I79" s="296" t="s">
        <v>628</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1012</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775</v>
      </c>
      <c r="C3" s="138" t="s">
        <v>2</v>
      </c>
      <c r="D3" s="138" t="s">
        <v>7</v>
      </c>
      <c r="E3" s="138" t="s">
        <v>3</v>
      </c>
      <c r="F3" s="138" t="s">
        <v>4</v>
      </c>
      <c r="G3" s="138" t="s">
        <v>776</v>
      </c>
      <c r="H3" s="138" t="s">
        <v>275</v>
      </c>
      <c r="I3" s="138" t="s">
        <v>226</v>
      </c>
      <c r="J3" s="138" t="s">
        <v>23</v>
      </c>
      <c r="K3" s="138" t="s">
        <v>0</v>
      </c>
      <c r="L3" s="138" t="s">
        <v>312</v>
      </c>
      <c r="M3" s="138" t="s">
        <v>308</v>
      </c>
      <c r="N3" s="138" t="s">
        <v>973</v>
      </c>
      <c r="O3" s="138" t="s">
        <v>315</v>
      </c>
      <c r="P3" s="138" t="s">
        <v>218</v>
      </c>
      <c r="Q3" s="138" t="s">
        <v>316</v>
      </c>
      <c r="R3" s="138" t="s">
        <v>974</v>
      </c>
      <c r="S3" s="138" t="s">
        <v>975</v>
      </c>
      <c r="T3" s="138" t="s">
        <v>976</v>
      </c>
      <c r="U3" s="138" t="s">
        <v>977</v>
      </c>
      <c r="V3" s="138" t="s">
        <v>978</v>
      </c>
      <c r="W3" s="138" t="s">
        <v>979</v>
      </c>
      <c r="X3" s="138" t="s">
        <v>777</v>
      </c>
      <c r="Y3" s="138" t="s">
        <v>210</v>
      </c>
      <c r="Z3" s="138" t="s">
        <v>212</v>
      </c>
      <c r="AA3" s="138" t="s">
        <v>213</v>
      </c>
      <c r="AB3" s="138" t="s">
        <v>214</v>
      </c>
      <c r="AC3" s="138" t="s">
        <v>215</v>
      </c>
      <c r="AD3" s="138" t="s">
        <v>216</v>
      </c>
      <c r="AE3" s="138" t="s">
        <v>792</v>
      </c>
      <c r="AF3" s="138" t="s">
        <v>1042</v>
      </c>
      <c r="AG3" s="138" t="s">
        <v>940</v>
      </c>
      <c r="AH3" s="138" t="s">
        <v>941</v>
      </c>
      <c r="AI3" s="138" t="s">
        <v>942</v>
      </c>
      <c r="AJ3" s="138" t="s">
        <v>943</v>
      </c>
      <c r="AK3" s="138" t="s">
        <v>944</v>
      </c>
      <c r="AL3" s="138" t="s">
        <v>793</v>
      </c>
      <c r="AM3" s="258" t="s">
        <v>945</v>
      </c>
      <c r="AN3" s="258" t="s">
        <v>946</v>
      </c>
      <c r="AO3" s="258" t="s">
        <v>947</v>
      </c>
      <c r="AP3" s="258" t="s">
        <v>948</v>
      </c>
      <c r="AQ3" s="258" t="s">
        <v>794</v>
      </c>
      <c r="AR3" s="258" t="s">
        <v>949</v>
      </c>
      <c r="AS3" s="258" t="s">
        <v>950</v>
      </c>
      <c r="AT3" s="258" t="s">
        <v>951</v>
      </c>
      <c r="AU3" s="258" t="s">
        <v>952</v>
      </c>
      <c r="AV3" s="258" t="s">
        <v>868</v>
      </c>
      <c r="AW3" s="258" t="s">
        <v>953</v>
      </c>
      <c r="AX3" s="258" t="s">
        <v>954</v>
      </c>
      <c r="AY3" s="258" t="s">
        <v>955</v>
      </c>
      <c r="AZ3" s="258" t="s">
        <v>956</v>
      </c>
      <c r="BA3" s="258" t="s">
        <v>869</v>
      </c>
      <c r="BB3" s="258" t="s">
        <v>957</v>
      </c>
      <c r="BC3" s="258" t="s">
        <v>958</v>
      </c>
      <c r="BD3" s="258" t="s">
        <v>959</v>
      </c>
      <c r="BE3" s="258" t="s">
        <v>960</v>
      </c>
      <c r="BF3" s="258" t="s">
        <v>1043</v>
      </c>
      <c r="BG3" s="258" t="s">
        <v>961</v>
      </c>
      <c r="BH3" s="258" t="s">
        <v>962</v>
      </c>
      <c r="BI3" s="258" t="s">
        <v>963</v>
      </c>
      <c r="BJ3" s="258" t="s">
        <v>964</v>
      </c>
      <c r="BK3" s="258" t="s">
        <v>1044</v>
      </c>
      <c r="BL3" s="258" t="s">
        <v>965</v>
      </c>
      <c r="BM3" s="258" t="s">
        <v>966</v>
      </c>
      <c r="BN3" s="258" t="s">
        <v>967</v>
      </c>
      <c r="BO3" s="258" t="s">
        <v>968</v>
      </c>
      <c r="BP3" s="258" t="s">
        <v>1045</v>
      </c>
      <c r="BQ3" s="258" t="s">
        <v>969</v>
      </c>
      <c r="BR3" s="258" t="s">
        <v>970</v>
      </c>
      <c r="BS3" s="258" t="s">
        <v>971</v>
      </c>
      <c r="BT3" s="258" t="s">
        <v>972</v>
      </c>
      <c r="BU3" s="138" t="s">
        <v>1046</v>
      </c>
      <c r="BV3" s="305" t="s">
        <v>310</v>
      </c>
      <c r="BW3" s="138" t="s">
        <v>980</v>
      </c>
      <c r="BX3" s="138" t="s">
        <v>1047</v>
      </c>
      <c r="BY3" s="138" t="s">
        <v>981</v>
      </c>
      <c r="BZ3" s="138" t="s">
        <v>311</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45305</v>
      </c>
      <c r="M4" s="62">
        <f>IF(ISERROR(TblImps[[#This Row],[algorithm]]),0,TblImps[[#This Row],[algorithm]]*1)</f>
        <v>0</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45305</v>
      </c>
      <c r="BZ4" s="313">
        <f>Overview!B15</f>
        <v>45305</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45305.041666666664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45305.041666666664</v>
      </c>
      <c r="BZ5" s="317">
        <f ca="1">OFFSET(TblImps[[#This Row],[Servertime]],-1,0)+1/24</f>
        <v>45305.041666666664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45305.083333333328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45305.083333333328</v>
      </c>
      <c r="BZ6" s="317">
        <f ca="1">OFFSET(TblImps[[#This Row],[Servertime]],-1,0)+1/24</f>
        <v>45305.083333333328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45305.124999999993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45305.124999999993</v>
      </c>
      <c r="BZ7" s="317">
        <f ca="1">OFFSET(TblImps[[#This Row],[Servertime]],-1,0)+1/24</f>
        <v>45305.124999999993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45305.166666666657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45305.166666666657</v>
      </c>
      <c r="BZ8" s="317">
        <f ca="1">OFFSET(TblImps[[#This Row],[Servertime]],-1,0)+1/24</f>
        <v>45305.166666666657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45305.208333333321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45305.208333333321</v>
      </c>
      <c r="BZ9" s="317">
        <f ca="1">OFFSET(TblImps[[#This Row],[Servertime]],-1,0)+1/24</f>
        <v>45305.208333333321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45305.249999999985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45305.249999999985</v>
      </c>
      <c r="BZ10" s="317">
        <f ca="1">OFFSET(TblImps[[#This Row],[Servertime]],-1,0)+1/24</f>
        <v>45305.249999999985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45305.29166666665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45305.29166666665</v>
      </c>
      <c r="BZ11" s="317">
        <f ca="1">OFFSET(TblImps[[#This Row],[Servertime]],-1,0)+1/24</f>
        <v>45305.29166666665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45305.333333333314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45305.333333333314</v>
      </c>
      <c r="BZ12" s="317">
        <f ca="1">OFFSET(TblImps[[#This Row],[Servertime]],-1,0)+1/24</f>
        <v>45305.333333333314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45305.374999999978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45305.374999999978</v>
      </c>
      <c r="BZ13" s="317">
        <f ca="1">OFFSET(TblImps[[#This Row],[Servertime]],-1,0)+1/24</f>
        <v>45305.374999999978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45305.416666666642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45305.416666666642</v>
      </c>
      <c r="BZ14" s="317">
        <f ca="1">OFFSET(TblImps[[#This Row],[Servertime]],-1,0)+1/24</f>
        <v>45305.416666666642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45305.458333333307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45305.458333333307</v>
      </c>
      <c r="BZ15" s="317">
        <f ca="1">OFFSET(TblImps[[#This Row],[Servertime]],-1,0)+1/24</f>
        <v>45305.458333333307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45305.499999999971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45305.499999999971</v>
      </c>
      <c r="BZ16" s="317">
        <f ca="1">OFFSET(TblImps[[#This Row],[Servertime]],-1,0)+1/24</f>
        <v>45305.499999999971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45305.541666666635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45305.541666666635</v>
      </c>
      <c r="BZ17" s="317">
        <f ca="1">OFFSET(TblImps[[#This Row],[Servertime]],-1,0)+1/24</f>
        <v>45305.541666666635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45305.583333333299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45305.583333333299</v>
      </c>
      <c r="BZ18" s="317">
        <f ca="1">OFFSET(TblImps[[#This Row],[Servertime]],-1,0)+1/24</f>
        <v>45305.583333333299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45305.624999999964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45305.624999999964</v>
      </c>
      <c r="BZ19" s="317">
        <f ca="1">OFFSET(TblImps[[#This Row],[Servertime]],-1,0)+1/24</f>
        <v>45305.624999999964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45305.666666666628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45305.666666666628</v>
      </c>
      <c r="BZ20" s="317">
        <f ca="1">OFFSET(TblImps[[#This Row],[Servertime]],-1,0)+1/24</f>
        <v>45305.666666666628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45305.708333333292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45305.708333333292</v>
      </c>
      <c r="BZ21" s="317">
        <f ca="1">OFFSET(TblImps[[#This Row],[Servertime]],-1,0)+1/24</f>
        <v>45305.708333333292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45305.749999999956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45305.749999999956</v>
      </c>
      <c r="BZ22" s="317">
        <f ca="1">OFFSET(TblImps[[#This Row],[Servertime]],-1,0)+1/24</f>
        <v>45305.749999999956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45305.791666666621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45305.791666666621</v>
      </c>
      <c r="BZ23" s="317">
        <f ca="1">OFFSET(TblImps[[#This Row],[Servertime]],-1,0)+1/24</f>
        <v>45305.791666666621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45305.833333333285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45305.833333333285</v>
      </c>
      <c r="BZ24" s="317">
        <f ca="1">OFFSET(TblImps[[#This Row],[Servertime]],-1,0)+1/24</f>
        <v>45305.833333333285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45305.874999999949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45305.874999999949</v>
      </c>
      <c r="BZ25" s="317">
        <f ca="1">OFFSET(TblImps[[#This Row],[Servertime]],-1,0)+1/24</f>
        <v>45305.874999999949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45305.916666666613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45305.916666666613</v>
      </c>
      <c r="BZ26" s="317">
        <f ca="1">OFFSET(TblImps[[#This Row],[Servertime]],-1,0)+1/24</f>
        <v>45305.916666666613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45305.958333333278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45305.958333333278</v>
      </c>
      <c r="BZ27" s="317">
        <f ca="1">OFFSET(TblImps[[#This Row],[Servertime]],-1,0)+1/24</f>
        <v>45305.958333333278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45305.999999999942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45305.999999999942</v>
      </c>
      <c r="BZ28" s="317">
        <f ca="1">OFFSET(TblImps[[#This Row],[Servertime]],-1,0)+1/24</f>
        <v>45305.999999999942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45306.041666666606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45306.041666666606</v>
      </c>
      <c r="BZ29" s="317">
        <f ca="1">OFFSET(TblImps[[#This Row],[Servertime]],-1,0)+1/24</f>
        <v>45306.041666666606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45306.08333333327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45306.08333333327</v>
      </c>
      <c r="BZ30" s="317">
        <f ca="1">OFFSET(TblImps[[#This Row],[Servertime]],-1,0)+1/24</f>
        <v>45306.08333333327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45306.124999999935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45306.124999999935</v>
      </c>
      <c r="BZ31" s="317">
        <f ca="1">OFFSET(TblImps[[#This Row],[Servertime]],-1,0)+1/24</f>
        <v>45306.124999999935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45306.166666666599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45306.166666666599</v>
      </c>
      <c r="BZ32" s="317">
        <f ca="1">OFFSET(TblImps[[#This Row],[Servertime]],-1,0)+1/24</f>
        <v>45306.166666666599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45306.208333333263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45306.208333333263</v>
      </c>
      <c r="BZ33" s="317">
        <f ca="1">OFFSET(TblImps[[#This Row],[Servertime]],-1,0)+1/24</f>
        <v>45306.208333333263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45306.249999999927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45306.249999999927</v>
      </c>
      <c r="BZ34" s="317">
        <f ca="1">OFFSET(TblImps[[#This Row],[Servertime]],-1,0)+1/24</f>
        <v>45306.249999999927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45306.291666666591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45306.291666666591</v>
      </c>
      <c r="BZ35" s="317">
        <f ca="1">OFFSET(TblImps[[#This Row],[Servertime]],-1,0)+1/24</f>
        <v>45306.291666666591</v>
      </c>
      <c r="CA35" s="57"/>
      <c r="CB35" s="315"/>
      <c r="CC35" s="315"/>
      <c r="CD35" s="45" t="s">
        <v>210</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45306.333333333256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45306.333333333256</v>
      </c>
      <c r="BZ36" s="317">
        <f ca="1">OFFSET(TblImps[[#This Row],[Servertime]],-1,0)+1/24</f>
        <v>45306.333333333256</v>
      </c>
      <c r="CA36" s="57"/>
      <c r="CB36" s="315"/>
      <c r="CC36" s="315"/>
      <c r="CD36" s="45" t="s">
        <v>212</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45306.37499999992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45306.37499999992</v>
      </c>
      <c r="BZ37" s="317">
        <f ca="1">OFFSET(TblImps[[#This Row],[Servertime]],-1,0)+1/24</f>
        <v>45306.37499999992</v>
      </c>
      <c r="CA37" s="57"/>
      <c r="CB37" s="315"/>
      <c r="CC37" s="315"/>
      <c r="CD37" s="45" t="s">
        <v>213</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45306.416666666584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45306.416666666584</v>
      </c>
      <c r="BZ38" s="317">
        <f ca="1">OFFSET(TblImps[[#This Row],[Servertime]],-1,0)+1/24</f>
        <v>45306.416666666584</v>
      </c>
      <c r="CA38" s="57"/>
      <c r="CB38" s="315"/>
      <c r="CC38" s="315"/>
      <c r="CD38" s="45" t="s">
        <v>214</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45306.458333333248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45306.458333333248</v>
      </c>
      <c r="BZ39" s="317">
        <f ca="1">OFFSET(TblImps[[#This Row],[Servertime]],-1,0)+1/24</f>
        <v>45306.458333333248</v>
      </c>
      <c r="CA39" s="57"/>
      <c r="CB39" s="315"/>
      <c r="CC39" s="315"/>
      <c r="CD39" s="45" t="s">
        <v>215</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45306.499999999913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45306.499999999913</v>
      </c>
      <c r="BZ40" s="317">
        <f ca="1">OFFSET(TblImps[[#This Row],[Servertime]],-1,0)+1/24</f>
        <v>45306.499999999913</v>
      </c>
      <c r="CA40" s="57"/>
      <c r="CB40" s="315"/>
      <c r="CC40" s="315"/>
      <c r="CD40" s="45" t="s">
        <v>216</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45306.541666666577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45306.541666666577</v>
      </c>
      <c r="BZ41" s="317">
        <f ca="1">OFFSET(TblImps[[#This Row],[Servertime]],-1,0)+1/24</f>
        <v>45306.541666666577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45306.583333333241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45306.583333333241</v>
      </c>
      <c r="BZ42" s="317">
        <f ca="1">OFFSET(TblImps[[#This Row],[Servertime]],-1,0)+1/24</f>
        <v>45306.583333333241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45306.624999999905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45306.624999999905</v>
      </c>
      <c r="BZ43" s="317">
        <f ca="1">OFFSET(TblImps[[#This Row],[Servertime]],-1,0)+1/24</f>
        <v>45306.624999999905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45306.66666666657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45306.66666666657</v>
      </c>
      <c r="BZ44" s="317">
        <f ca="1">OFFSET(TblImps[[#This Row],[Servertime]],-1,0)+1/24</f>
        <v>45306.66666666657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45306.708333333234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45306.708333333234</v>
      </c>
      <c r="BZ45" s="317">
        <f ca="1">OFFSET(TblImps[[#This Row],[Servertime]],-1,0)+1/24</f>
        <v>45306.708333333234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45306.749999999898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45306.749999999898</v>
      </c>
      <c r="BZ46" s="317">
        <f ca="1">OFFSET(TblImps[[#This Row],[Servertime]],-1,0)+1/24</f>
        <v>45306.749999999898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45306.791666666562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45306.791666666562</v>
      </c>
      <c r="BZ47" s="317">
        <f ca="1">OFFSET(TblImps[[#This Row],[Servertime]],-1,0)+1/24</f>
        <v>45306.791666666562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45306.833333333227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45306.833333333227</v>
      </c>
      <c r="BZ48" s="317">
        <f ca="1">OFFSET(TblImps[[#This Row],[Servertime]],-1,0)+1/24</f>
        <v>45306.833333333227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45306.874999999891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45306.874999999891</v>
      </c>
      <c r="BZ49" s="317">
        <f ca="1">OFFSET(TblImps[[#This Row],[Servertime]],-1,0)+1/24</f>
        <v>45306.874999999891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45306.916666666555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45306.916666666555</v>
      </c>
      <c r="BZ50" s="317">
        <f ca="1">OFFSET(TblImps[[#This Row],[Servertime]],-1,0)+1/24</f>
        <v>45306.916666666555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45306.958333333219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45306.958333333219</v>
      </c>
      <c r="BZ51" s="317">
        <f ca="1">OFFSET(TblImps[[#This Row],[Servertime]],-1,0)+1/24</f>
        <v>45306.958333333219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45306.999999999884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45306.999999999884</v>
      </c>
      <c r="BZ52" s="317">
        <f ca="1">OFFSET(TblImps[[#This Row],[Servertime]],-1,0)+1/24</f>
        <v>45306.999999999884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45307.041666666548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45307.041666666548</v>
      </c>
      <c r="BZ53" s="317">
        <f ca="1">OFFSET(TblImps[[#This Row],[Servertime]],-1,0)+1/24</f>
        <v>45307.041666666548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45307.083333333212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45307.083333333212</v>
      </c>
      <c r="BZ54" s="317">
        <f ca="1">OFFSET(TblImps[[#This Row],[Servertime]],-1,0)+1/24</f>
        <v>45307.083333333212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45307.124999999876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45307.124999999876</v>
      </c>
      <c r="BZ55" s="317">
        <f ca="1">OFFSET(TblImps[[#This Row],[Servertime]],-1,0)+1/24</f>
        <v>45307.124999999876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45307.166666666541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45307.166666666541</v>
      </c>
      <c r="BZ56" s="317">
        <f ca="1">OFFSET(TblImps[[#This Row],[Servertime]],-1,0)+1/24</f>
        <v>45307.166666666541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45307.208333333205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45307.208333333205</v>
      </c>
      <c r="BZ57" s="317">
        <f ca="1">OFFSET(TblImps[[#This Row],[Servertime]],-1,0)+1/24</f>
        <v>45307.208333333205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45307.249999999869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45307.249999999869</v>
      </c>
      <c r="BZ58" s="317">
        <f ca="1">OFFSET(TblImps[[#This Row],[Servertime]],-1,0)+1/24</f>
        <v>45307.249999999869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45307.291666666533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45307.291666666533</v>
      </c>
      <c r="BZ59" s="317">
        <f ca="1">OFFSET(TblImps[[#This Row],[Servertime]],-1,0)+1/24</f>
        <v>45307.291666666533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45307.333333333198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45307.333333333198</v>
      </c>
      <c r="BZ60" s="317">
        <f ca="1">OFFSET(TblImps[[#This Row],[Servertime]],-1,0)+1/24</f>
        <v>45307.333333333198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45307.374999999862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45307.374999999862</v>
      </c>
      <c r="BZ61" s="317">
        <f ca="1">OFFSET(TblImps[[#This Row],[Servertime]],-1,0)+1/24</f>
        <v>45307.374999999862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45307.416666666526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45307.416666666526</v>
      </c>
      <c r="BZ62" s="317">
        <f ca="1">OFFSET(TblImps[[#This Row],[Servertime]],-1,0)+1/24</f>
        <v>45307.416666666526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45307.45833333319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45307.45833333319</v>
      </c>
      <c r="BZ63" s="317">
        <f ca="1">OFFSET(TblImps[[#This Row],[Servertime]],-1,0)+1/24</f>
        <v>45307.45833333319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45307.499999999854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45307.499999999854</v>
      </c>
      <c r="BZ64" s="317">
        <f ca="1">OFFSET(TblImps[[#This Row],[Servertime]],-1,0)+1/24</f>
        <v>45307.499999999854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45307.541666666519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45307.541666666519</v>
      </c>
      <c r="BZ65" s="317">
        <f ca="1">OFFSET(TblImps[[#This Row],[Servertime]],-1,0)+1/24</f>
        <v>45307.541666666519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45307.583333333183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45307.583333333183</v>
      </c>
      <c r="BZ66" s="317">
        <f ca="1">OFFSET(TblImps[[#This Row],[Servertime]],-1,0)+1/24</f>
        <v>45307.583333333183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45307.624999999847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45307.624999999847</v>
      </c>
      <c r="BZ67" s="317">
        <f ca="1">OFFSET(TblImps[[#This Row],[Servertime]],-1,0)+1/24</f>
        <v>45307.624999999847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45307.666666666511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45307.666666666511</v>
      </c>
      <c r="BZ68" s="317">
        <f ca="1">OFFSET(TblImps[[#This Row],[Servertime]],-1,0)+1/24</f>
        <v>45307.666666666511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45307.708333333176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45307.708333333176</v>
      </c>
      <c r="BZ69" s="317">
        <f ca="1">OFFSET(TblImps[[#This Row],[Servertime]],-1,0)+1/24</f>
        <v>45307.708333333176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45307.74999999984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45307.74999999984</v>
      </c>
      <c r="BZ70" s="317">
        <f ca="1">OFFSET(TblImps[[#This Row],[Servertime]],-1,0)+1/24</f>
        <v>45307.74999999984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45307.791666666504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45307.791666666504</v>
      </c>
      <c r="BZ71" s="317">
        <f ca="1">OFFSET(TblImps[[#This Row],[Servertime]],-1,0)+1/24</f>
        <v>45307.791666666504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45307.833333333168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45307.833333333168</v>
      </c>
      <c r="BZ72" s="317">
        <f ca="1">OFFSET(TblImps[[#This Row],[Servertime]],-1,0)+1/24</f>
        <v>45307.833333333168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45307.874999999833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45307.874999999833</v>
      </c>
      <c r="BZ73" s="317">
        <f ca="1">OFFSET(TblImps[[#This Row],[Servertime]],-1,0)+1/24</f>
        <v>45307.874999999833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45307.916666666497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45307.916666666497</v>
      </c>
      <c r="BZ74" s="317">
        <f ca="1">OFFSET(TblImps[[#This Row],[Servertime]],-1,0)+1/24</f>
        <v>45307.916666666497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45307.958333333161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45307.958333333161</v>
      </c>
      <c r="BZ75" s="317">
        <f ca="1">OFFSET(TblImps[[#This Row],[Servertime]],-1,0)+1/24</f>
        <v>45307.958333333161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45307.999999999825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45307.999999999825</v>
      </c>
      <c r="BZ76" s="327">
        <f ca="1">OFFSET(TblImps[[#This Row],[Servertime]],-1,0)+1/24</f>
        <v>45307.999999999825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45308.04166666649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45308.04166666649</v>
      </c>
      <c r="BZ77" s="317">
        <f ca="1">OFFSET(TblImps[[#This Row],[Servertime]],-1,0)+1/24</f>
        <v>45308.04166666649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45308.083333333154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45308.083333333154</v>
      </c>
      <c r="BZ78" s="317">
        <f ca="1">OFFSET(TblImps[[#This Row],[Servertime]],-1,0)+1/24</f>
        <v>45308.083333333154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45308.124999999818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45308.124999999818</v>
      </c>
      <c r="BZ79" s="317">
        <f ca="1">OFFSET(TblImps[[#This Row],[Servertime]],-1,0)+1/24</f>
        <v>45308.124999999818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45308.166666666482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45308.166666666482</v>
      </c>
      <c r="BZ80" s="317">
        <f ca="1">OFFSET(TblImps[[#This Row],[Servertime]],-1,0)+1/24</f>
        <v>45308.166666666482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45308.208333333147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45308.208333333147</v>
      </c>
      <c r="BZ81" s="317">
        <f ca="1">OFFSET(TblImps[[#This Row],[Servertime]],-1,0)+1/24</f>
        <v>45308.208333333147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45308.249999999811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45308.249999999811</v>
      </c>
      <c r="BZ82" s="317">
        <f ca="1">OFFSET(TblImps[[#This Row],[Servertime]],-1,0)+1/24</f>
        <v>45308.249999999811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45308.291666666475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45308.291666666475</v>
      </c>
      <c r="BZ83" s="317">
        <f ca="1">OFFSET(TblImps[[#This Row],[Servertime]],-1,0)+1/24</f>
        <v>45308.291666666475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45308.333333333139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45308.333333333139</v>
      </c>
      <c r="BZ84" s="317">
        <f ca="1">OFFSET(TblImps[[#This Row],[Servertime]],-1,0)+1/24</f>
        <v>45308.333333333139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45308.374999999804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45308.374999999804</v>
      </c>
      <c r="BZ85" s="317">
        <f ca="1">OFFSET(TblImps[[#This Row],[Servertime]],-1,0)+1/24</f>
        <v>45308.374999999804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45308.416666666468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45308.416666666468</v>
      </c>
      <c r="BZ86" s="317">
        <f ca="1">OFFSET(TblImps[[#This Row],[Servertime]],-1,0)+1/24</f>
        <v>45308.416666666468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45308.458333333132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45308.458333333132</v>
      </c>
      <c r="BZ87" s="317">
        <f ca="1">OFFSET(TblImps[[#This Row],[Servertime]],-1,0)+1/24</f>
        <v>45308.458333333132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45308.499999999796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45308.499999999796</v>
      </c>
      <c r="BZ88" s="317">
        <f ca="1">OFFSET(TblImps[[#This Row],[Servertime]],-1,0)+1/24</f>
        <v>45308.499999999796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45308.541666666461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45308.541666666461</v>
      </c>
      <c r="BZ89" s="317">
        <f ca="1">OFFSET(TblImps[[#This Row],[Servertime]],-1,0)+1/24</f>
        <v>45308.541666666461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45308.583333333125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45308.583333333125</v>
      </c>
      <c r="BZ90" s="317">
        <f ca="1">OFFSET(TblImps[[#This Row],[Servertime]],-1,0)+1/24</f>
        <v>45308.583333333125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45308.624999999789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45308.624999999789</v>
      </c>
      <c r="BZ91" s="317">
        <f ca="1">OFFSET(TblImps[[#This Row],[Servertime]],-1,0)+1/24</f>
        <v>45308.624999999789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45308.666666666453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45308.666666666453</v>
      </c>
      <c r="BZ92" s="317">
        <f ca="1">OFFSET(TblImps[[#This Row],[Servertime]],-1,0)+1/24</f>
        <v>45308.666666666453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45308.708333333117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45308.708333333117</v>
      </c>
      <c r="BZ93" s="317">
        <f ca="1">OFFSET(TblImps[[#This Row],[Servertime]],-1,0)+1/24</f>
        <v>45308.708333333117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45308.749999999782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45308.749999999782</v>
      </c>
      <c r="BZ94" s="317">
        <f ca="1">OFFSET(TblImps[[#This Row],[Servertime]],-1,0)+1/24</f>
        <v>45308.749999999782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45308.791666666446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45308.791666666446</v>
      </c>
      <c r="BZ95" s="317">
        <f ca="1">OFFSET(TblImps[[#This Row],[Servertime]],-1,0)+1/24</f>
        <v>45308.791666666446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45308.83333333311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45308.83333333311</v>
      </c>
      <c r="BZ96" s="317">
        <f ca="1">OFFSET(TblImps[[#This Row],[Servertime]],-1,0)+1/24</f>
        <v>45308.83333333311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45308.874999999774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45308.874999999774</v>
      </c>
      <c r="BZ97" s="317">
        <f ca="1">OFFSET(TblImps[[#This Row],[Servertime]],-1,0)+1/24</f>
        <v>45308.874999999774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45308.916666666439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45308.916666666439</v>
      </c>
      <c r="BZ98" s="317">
        <f ca="1">OFFSET(TblImps[[#This Row],[Servertime]],-1,0)+1/24</f>
        <v>45308.916666666439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45308.958333333103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45308.958333333103</v>
      </c>
      <c r="BZ99" s="317">
        <f ca="1">OFFSET(TblImps[[#This Row],[Servertime]],-1,0)+1/24</f>
        <v>45308.958333333103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45308.999999999767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45308.999999999767</v>
      </c>
      <c r="BZ100" s="317">
        <f ca="1">OFFSET(TblImps[[#This Row],[Servertime]],-1,0)+1/24</f>
        <v>45308.999999999767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45309.041666666431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45309.041666666431</v>
      </c>
      <c r="BZ101" s="317">
        <f ca="1">OFFSET(TblImps[[#This Row],[Servertime]],-1,0)+1/24</f>
        <v>45309.041666666431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45309.083333333096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45309.083333333096</v>
      </c>
      <c r="BZ102" s="317">
        <f ca="1">OFFSET(TblImps[[#This Row],[Servertime]],-1,0)+1/24</f>
        <v>45309.083333333096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45309.12499999976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45309.12499999976</v>
      </c>
      <c r="BZ103" s="317">
        <f ca="1">OFFSET(TblImps[[#This Row],[Servertime]],-1,0)+1/24</f>
        <v>45309.12499999976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45309.166666666424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45309.166666666424</v>
      </c>
      <c r="BZ104" s="317">
        <f ca="1">OFFSET(TblImps[[#This Row],[Servertime]],-1,0)+1/24</f>
        <v>45309.166666666424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45309.208333333088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45309.208333333088</v>
      </c>
      <c r="BZ105" s="317">
        <f ca="1">OFFSET(TblImps[[#This Row],[Servertime]],-1,0)+1/24</f>
        <v>45309.208333333088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45309.249999999753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45309.249999999753</v>
      </c>
      <c r="BZ106" s="317">
        <f ca="1">OFFSET(TblImps[[#This Row],[Servertime]],-1,0)+1/24</f>
        <v>45309.249999999753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45309.291666666417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45309.291666666417</v>
      </c>
      <c r="BZ107" s="317">
        <f ca="1">OFFSET(TblImps[[#This Row],[Servertime]],-1,0)+1/24</f>
        <v>45309.291666666417</v>
      </c>
      <c r="CA107" s="57"/>
      <c r="CB107" s="315"/>
      <c r="CC107" s="315"/>
      <c r="CD107" s="45" t="s">
        <v>210</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45309.333333333081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45309.333333333081</v>
      </c>
      <c r="BZ108" s="317">
        <f ca="1">OFFSET(TblImps[[#This Row],[Servertime]],-1,0)+1/24</f>
        <v>45309.333333333081</v>
      </c>
      <c r="CA108" s="57"/>
      <c r="CB108" s="315"/>
      <c r="CC108" s="315"/>
      <c r="CD108" s="45" t="s">
        <v>212</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45309.374999999745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45309.374999999745</v>
      </c>
      <c r="BZ109" s="317">
        <f ca="1">OFFSET(TblImps[[#This Row],[Servertime]],-1,0)+1/24</f>
        <v>45309.374999999745</v>
      </c>
      <c r="CA109" s="57"/>
      <c r="CB109" s="315"/>
      <c r="CC109" s="315"/>
      <c r="CD109" s="45" t="s">
        <v>213</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45309.41666666641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45309.41666666641</v>
      </c>
      <c r="BZ110" s="317">
        <f ca="1">OFFSET(TblImps[[#This Row],[Servertime]],-1,0)+1/24</f>
        <v>45309.41666666641</v>
      </c>
      <c r="CA110" s="57"/>
      <c r="CB110" s="315"/>
      <c r="CC110" s="315"/>
      <c r="CD110" s="45" t="s">
        <v>214</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45309.458333333074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45309.458333333074</v>
      </c>
      <c r="BZ111" s="317">
        <f ca="1">OFFSET(TblImps[[#This Row],[Servertime]],-1,0)+1/24</f>
        <v>45309.458333333074</v>
      </c>
      <c r="CA111" s="57"/>
      <c r="CB111" s="315"/>
      <c r="CC111" s="315"/>
      <c r="CD111" s="45" t="s">
        <v>215</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45309.499999999738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45309.499999999738</v>
      </c>
      <c r="BZ112" s="317">
        <f ca="1">OFFSET(TblImps[[#This Row],[Servertime]],-1,0)+1/24</f>
        <v>45309.499999999738</v>
      </c>
      <c r="CA112" s="57"/>
      <c r="CB112" s="315"/>
      <c r="CC112" s="315"/>
      <c r="CD112" s="45" t="s">
        <v>216</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45309.541666666402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45309.541666666402</v>
      </c>
      <c r="BZ113" s="317">
        <f ca="1">OFFSET(TblImps[[#This Row],[Servertime]],-1,0)+1/24</f>
        <v>45309.541666666402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45309.583333333067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45309.583333333067</v>
      </c>
      <c r="BZ114" s="317">
        <f ca="1">OFFSET(TblImps[[#This Row],[Servertime]],-1,0)+1/24</f>
        <v>45309.583333333067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45309.624999999731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45309.624999999731</v>
      </c>
      <c r="BZ115" s="317">
        <f ca="1">OFFSET(TblImps[[#This Row],[Servertime]],-1,0)+1/24</f>
        <v>45309.624999999731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45309.666666666395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45309.666666666395</v>
      </c>
      <c r="BZ116" s="317">
        <f ca="1">OFFSET(TblImps[[#This Row],[Servertime]],-1,0)+1/24</f>
        <v>45309.666666666395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45309.708333333059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45309.708333333059</v>
      </c>
      <c r="BZ117" s="317">
        <f ca="1">OFFSET(TblImps[[#This Row],[Servertime]],-1,0)+1/24</f>
        <v>45309.708333333059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45309.749999999724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45309.749999999724</v>
      </c>
      <c r="BZ118" s="317">
        <f ca="1">OFFSET(TblImps[[#This Row],[Servertime]],-1,0)+1/24</f>
        <v>45309.749999999724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45309.791666666388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45309.791666666388</v>
      </c>
      <c r="BZ119" s="317">
        <f ca="1">OFFSET(TblImps[[#This Row],[Servertime]],-1,0)+1/24</f>
        <v>45309.791666666388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45309.833333333052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45309.833333333052</v>
      </c>
      <c r="BZ120" s="317">
        <f ca="1">OFFSET(TblImps[[#This Row],[Servertime]],-1,0)+1/24</f>
        <v>45309.833333333052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45309.874999999716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45309.874999999716</v>
      </c>
      <c r="BZ121" s="317">
        <f ca="1">OFFSET(TblImps[[#This Row],[Servertime]],-1,0)+1/24</f>
        <v>45309.874999999716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45309.91666666638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45309.91666666638</v>
      </c>
      <c r="BZ122" s="317">
        <f ca="1">OFFSET(TblImps[[#This Row],[Servertime]],-1,0)+1/24</f>
        <v>45309.91666666638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45309.958333333045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45309.958333333045</v>
      </c>
      <c r="BZ123" s="317">
        <f ca="1">OFFSET(TblImps[[#This Row],[Servertime]],-1,0)+1/24</f>
        <v>45309.958333333045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45309.999999999709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45309.999999999709</v>
      </c>
      <c r="BZ124" s="317">
        <f ca="1">OFFSET(TblImps[[#This Row],[Servertime]],-1,0)+1/24</f>
        <v>45309.999999999709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45310.041666666373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45310.041666666373</v>
      </c>
      <c r="BZ125" s="317">
        <f ca="1">OFFSET(TblImps[[#This Row],[Servertime]],-1,0)+1/24</f>
        <v>45310.041666666373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45310.083333333037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45310.083333333037</v>
      </c>
      <c r="BZ126" s="317">
        <f ca="1">OFFSET(TblImps[[#This Row],[Servertime]],-1,0)+1/24</f>
        <v>45310.083333333037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45310.124999999702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45310.124999999702</v>
      </c>
      <c r="BZ127" s="317">
        <f ca="1">OFFSET(TblImps[[#This Row],[Servertime]],-1,0)+1/24</f>
        <v>45310.124999999702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45310.166666666366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45310.166666666366</v>
      </c>
      <c r="BZ128" s="317">
        <f ca="1">OFFSET(TblImps[[#This Row],[Servertime]],-1,0)+1/24</f>
        <v>45310.166666666366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45310.20833333303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45310.20833333303</v>
      </c>
      <c r="BZ129" s="317">
        <f ca="1">OFFSET(TblImps[[#This Row],[Servertime]],-1,0)+1/24</f>
        <v>45310.20833333303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45310.249999999694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45310.249999999694</v>
      </c>
      <c r="BZ130" s="317">
        <f ca="1">OFFSET(TblImps[[#This Row],[Servertime]],-1,0)+1/24</f>
        <v>45310.249999999694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45310.291666666359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45310.291666666359</v>
      </c>
      <c r="BZ131" s="317">
        <f ca="1">OFFSET(TblImps[[#This Row],[Servertime]],-1,0)+1/24</f>
        <v>45310.291666666359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45310.333333333023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45310.333333333023</v>
      </c>
      <c r="BZ132" s="317">
        <f ca="1">OFFSET(TblImps[[#This Row],[Servertime]],-1,0)+1/24</f>
        <v>45310.333333333023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45310.374999999687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45310.374999999687</v>
      </c>
      <c r="BZ133" s="317">
        <f ca="1">OFFSET(TblImps[[#This Row],[Servertime]],-1,0)+1/24</f>
        <v>45310.374999999687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45310.416666666351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45310.416666666351</v>
      </c>
      <c r="BZ134" s="317">
        <f ca="1">OFFSET(TblImps[[#This Row],[Servertime]],-1,0)+1/24</f>
        <v>45310.416666666351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45310.458333333016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45310.458333333016</v>
      </c>
      <c r="BZ135" s="317">
        <f ca="1">OFFSET(TblImps[[#This Row],[Servertime]],-1,0)+1/24</f>
        <v>45310.458333333016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45310.49999999968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45310.49999999968</v>
      </c>
      <c r="BZ136" s="317">
        <f ca="1">OFFSET(TblImps[[#This Row],[Servertime]],-1,0)+1/24</f>
        <v>45310.49999999968</v>
      </c>
      <c r="CA136" s="57"/>
      <c r="CB136" s="315"/>
      <c r="CC136" s="315"/>
    </row>
    <row r="1269" spans="2:23" x14ac:dyDescent="0.2">
      <c r="B1269" s="496" t="s">
        <v>317</v>
      </c>
      <c r="C1269" s="449"/>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2" priority="8" stopIfTrue="1">
      <formula>ROW()-2=#REF!</formula>
    </cfRule>
  </conditionalFormatting>
  <conditionalFormatting sqref="A1269:CC1269">
    <cfRule type="expression" dxfId="11" priority="9" stopIfTrue="1">
      <formula>$B$1270&gt;84</formula>
    </cfRule>
  </conditionalFormatting>
  <conditionalFormatting sqref="A1269:XFD1270">
    <cfRule type="expression" dxfId="10" priority="10" stopIfTrue="1">
      <formula>$B$1270&gt;144</formula>
    </cfRule>
  </conditionalFormatting>
  <conditionalFormatting sqref="BV76">
    <cfRule type="expression" dxfId="9" priority="20" stopIfTrue="1">
      <formula>ISERROR(BV76)</formula>
    </cfRule>
  </conditionalFormatting>
  <conditionalFormatting sqref="A4:BZ136">
    <cfRule type="expression" dxfId="8" priority="1" stopIfTrue="1">
      <formula>ROW()-3=$B$1270</formula>
    </cfRule>
    <cfRule type="expression" dxfId="7" priority="2" stopIfTrue="1">
      <formula>OR(ROW()-3=$B$1270,A4&lt;0)</formula>
    </cfRule>
    <cfRule type="expression" dxfId="6" priority="7">
      <formula>$K4=73</formula>
    </cfRule>
    <cfRule type="expression" dxfId="5" priority="12">
      <formula>ROUND(($K4-1)/12,0)=INT($K4-1)/12</formula>
    </cfRule>
  </conditionalFormatting>
  <conditionalFormatting sqref="BV4:BV136">
    <cfRule type="expression" dxfId="4" priority="15" stopIfTrue="1">
      <formula>AND(ROW()-3=$B$1270,ISERROR(BV4))</formula>
    </cfRule>
    <cfRule type="expression" dxfId="3" priority="17" stopIfTrue="1">
      <formula>ISERROR(BV4)</formula>
    </cfRule>
  </conditionalFormatting>
  <conditionalFormatting sqref="A1:XFD3">
    <cfRule type="expression" dxfId="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473</v>
      </c>
      <c r="P16" s="39"/>
    </row>
    <row r="27" spans="8:9" ht="12.75" customHeight="1" x14ac:dyDescent="0.2"/>
    <row r="28" spans="8:9" x14ac:dyDescent="0.2">
      <c r="H28" s="28" t="s">
        <v>473</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1007</v>
      </c>
      <c r="D2" s="41" t="s">
        <v>938</v>
      </c>
      <c r="E2" s="41" t="s">
        <v>1009</v>
      </c>
    </row>
    <row r="3" spans="2:5" ht="15.75" x14ac:dyDescent="0.25">
      <c r="B3" s="40" t="s">
        <v>986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992</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997</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998</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999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1000</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1001</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1003</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1006</v>
      </c>
      <c r="C23" s="40" t="s">
        <v>1008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4"/>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537</v>
      </c>
      <c r="B11" s="45">
        <v>25</v>
      </c>
      <c r="C11" s="45" t="s">
        <v>8</v>
      </c>
    </row>
    <row r="12" spans="1:6" x14ac:dyDescent="0.2">
      <c r="A12" s="329" t="s">
        <v>67</v>
      </c>
      <c r="B12" s="266">
        <v>1.75</v>
      </c>
      <c r="C12" s="45" t="s">
        <v>512</v>
      </c>
      <c r="D12" s="159">
        <v>0.35</v>
      </c>
      <c r="E12" s="45" t="s">
        <v>438</v>
      </c>
    </row>
    <row r="13" spans="1:6" x14ac:dyDescent="0.2">
      <c r="A13" s="329" t="s">
        <v>65</v>
      </c>
      <c r="B13" s="266">
        <v>1.75</v>
      </c>
      <c r="C13" s="45" t="s">
        <v>513</v>
      </c>
      <c r="D13" s="159">
        <v>0.35</v>
      </c>
      <c r="E13" s="45" t="s">
        <v>438</v>
      </c>
    </row>
    <row r="14" spans="1:6" x14ac:dyDescent="0.2">
      <c r="A14" s="329" t="s">
        <v>482</v>
      </c>
      <c r="B14" s="45">
        <v>0</v>
      </c>
      <c r="C14" s="45" t="s">
        <v>483</v>
      </c>
      <c r="D14" s="330"/>
      <c r="F14" s="159"/>
    </row>
    <row r="15" spans="1:6" x14ac:dyDescent="0.2">
      <c r="B15" s="45">
        <v>3.5</v>
      </c>
      <c r="C15" s="45" t="s">
        <v>484</v>
      </c>
      <c r="D15" s="331">
        <v>0.35</v>
      </c>
      <c r="E15" s="45" t="s">
        <v>438</v>
      </c>
      <c r="F15" s="159"/>
    </row>
    <row r="16" spans="1:6" x14ac:dyDescent="0.2">
      <c r="A16" s="329" t="s">
        <v>479</v>
      </c>
      <c r="B16" s="45">
        <v>0</v>
      </c>
      <c r="C16" s="45" t="s">
        <v>486</v>
      </c>
      <c r="D16" s="331">
        <v>0</v>
      </c>
      <c r="E16" s="45" t="s">
        <v>438</v>
      </c>
      <c r="F16" s="159"/>
    </row>
    <row r="17" spans="1:19" x14ac:dyDescent="0.2">
      <c r="B17" s="45">
        <v>3.5</v>
      </c>
      <c r="C17" s="45" t="s">
        <v>485</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2.6</v>
      </c>
      <c r="C20" s="45" t="s">
        <v>487</v>
      </c>
    </row>
    <row r="21" spans="1:19" x14ac:dyDescent="0.2">
      <c r="A21" s="329" t="s">
        <v>455</v>
      </c>
      <c r="B21" s="332">
        <v>5</v>
      </c>
      <c r="C21" s="45" t="s">
        <v>456</v>
      </c>
      <c r="D21" s="159">
        <v>0.5</v>
      </c>
      <c r="E21" s="45" t="s">
        <v>438</v>
      </c>
    </row>
    <row r="22" spans="1:19" x14ac:dyDescent="0.2">
      <c r="B22" s="332">
        <v>5</v>
      </c>
      <c r="C22" s="45" t="s">
        <v>457</v>
      </c>
      <c r="D22" s="159">
        <v>0.5</v>
      </c>
      <c r="E22" s="45" t="s">
        <v>438</v>
      </c>
    </row>
    <row r="23" spans="1:19" x14ac:dyDescent="0.2">
      <c r="A23" s="329" t="s">
        <v>1074</v>
      </c>
      <c r="B23" s="332"/>
      <c r="C23" s="45" t="s">
        <v>1075</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510</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1095</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472</v>
      </c>
      <c r="U62" s="160"/>
    </row>
    <row r="63" spans="1:21" x14ac:dyDescent="0.2">
      <c r="A63" s="328" t="s">
        <v>170</v>
      </c>
    </row>
    <row r="64" spans="1:21" x14ac:dyDescent="0.2">
      <c r="A64" s="329" t="s">
        <v>346</v>
      </c>
      <c r="B64" s="45">
        <v>36</v>
      </c>
      <c r="C64" s="45" t="s">
        <v>347</v>
      </c>
      <c r="D64" s="45" t="s">
        <v>348</v>
      </c>
      <c r="L64" s="45" t="s">
        <v>471</v>
      </c>
      <c r="M64" s="45">
        <v>3780</v>
      </c>
      <c r="U64" s="159"/>
    </row>
    <row r="65" spans="1:21" x14ac:dyDescent="0.2">
      <c r="A65" s="329" t="s">
        <v>172</v>
      </c>
      <c r="B65" s="45">
        <v>30</v>
      </c>
      <c r="C65" s="45" t="s">
        <v>271</v>
      </c>
    </row>
    <row r="66" spans="1:21" x14ac:dyDescent="0.2">
      <c r="A66" s="329" t="s">
        <v>478</v>
      </c>
      <c r="B66" s="45">
        <v>15</v>
      </c>
      <c r="C66" s="45" t="s">
        <v>271</v>
      </c>
      <c r="L66" s="5" t="s">
        <v>629</v>
      </c>
      <c r="U66" s="159"/>
    </row>
    <row r="67" spans="1:21" x14ac:dyDescent="0.2">
      <c r="A67" s="329" t="s">
        <v>350</v>
      </c>
      <c r="B67" s="45">
        <v>15</v>
      </c>
      <c r="C67" s="45" t="s">
        <v>271</v>
      </c>
      <c r="L67" s="111" t="s">
        <v>539</v>
      </c>
      <c r="M67" s="434">
        <v>2.5000000000000001E-2</v>
      </c>
      <c r="N67" s="45" t="s">
        <v>634</v>
      </c>
      <c r="S67" s="45" t="s">
        <v>683</v>
      </c>
      <c r="U67" s="159"/>
    </row>
    <row r="68" spans="1:21" x14ac:dyDescent="0.2">
      <c r="A68" s="329" t="s">
        <v>171</v>
      </c>
      <c r="B68" s="45">
        <v>15</v>
      </c>
      <c r="C68" s="45" t="str">
        <f>C65</f>
        <v>peasants</v>
      </c>
      <c r="L68" s="111" t="s">
        <v>541</v>
      </c>
      <c r="M68" s="434">
        <v>0.05</v>
      </c>
      <c r="N68" s="45" t="s">
        <v>635</v>
      </c>
      <c r="S68" s="45" t="s">
        <v>684</v>
      </c>
    </row>
    <row r="69" spans="1:21" x14ac:dyDescent="0.2">
      <c r="A69" s="329" t="s">
        <v>272</v>
      </c>
      <c r="B69" s="45">
        <f>IF(OR(Overview!$B$14="Halfling",Overview!$B$14="Dwarf",Overview!$B$14="Gnome"),10,IF(race="Nomad",25,5))</f>
        <v>5</v>
      </c>
      <c r="L69" s="45" t="s">
        <v>542</v>
      </c>
      <c r="M69" s="2">
        <v>0.05</v>
      </c>
      <c r="N69" s="45" t="s">
        <v>636</v>
      </c>
      <c r="S69" s="45" t="s">
        <v>685</v>
      </c>
    </row>
    <row r="70" spans="1:21" x14ac:dyDescent="0.2">
      <c r="L70" s="45" t="s">
        <v>544</v>
      </c>
      <c r="M70" s="434">
        <v>7.4999999999999997E-2</v>
      </c>
      <c r="N70" s="45" t="s">
        <v>634</v>
      </c>
      <c r="S70" s="45" t="s">
        <v>686</v>
      </c>
      <c r="T70" s="111"/>
      <c r="U70" s="160"/>
    </row>
    <row r="71" spans="1:21" x14ac:dyDescent="0.2">
      <c r="A71" s="343" t="s">
        <v>273</v>
      </c>
      <c r="L71" s="45" t="s">
        <v>546</v>
      </c>
      <c r="M71" s="434">
        <v>0.02</v>
      </c>
      <c r="N71" s="45" t="s">
        <v>637</v>
      </c>
      <c r="S71" s="45" t="s">
        <v>687</v>
      </c>
      <c r="U71" s="160"/>
    </row>
    <row r="72" spans="1:21" x14ac:dyDescent="0.2">
      <c r="A72" s="329" t="str">
        <f>CONCATENATE("Your race is ",Overview!B14)</f>
        <v>Your race is Human</v>
      </c>
      <c r="L72" s="45" t="s">
        <v>547</v>
      </c>
      <c r="M72" s="2">
        <v>0.05</v>
      </c>
      <c r="N72" s="45" t="s">
        <v>672</v>
      </c>
      <c r="S72" s="111" t="s">
        <v>698</v>
      </c>
      <c r="T72" s="111"/>
      <c r="U72" s="159"/>
    </row>
    <row r="73" spans="1:21" x14ac:dyDescent="0.2">
      <c r="L73" s="45" t="s">
        <v>548</v>
      </c>
      <c r="M73" s="2">
        <v>0.1</v>
      </c>
      <c r="N73" s="45" t="s">
        <v>753</v>
      </c>
      <c r="S73" s="111" t="s">
        <v>727</v>
      </c>
      <c r="T73" s="111"/>
      <c r="U73" s="159"/>
    </row>
    <row r="74" spans="1:21" x14ac:dyDescent="0.2">
      <c r="A74" s="328" t="s">
        <v>203</v>
      </c>
      <c r="B74" s="45" t="s">
        <v>274</v>
      </c>
      <c r="F74" s="45" t="s">
        <v>208</v>
      </c>
      <c r="L74" s="45" t="s">
        <v>549</v>
      </c>
      <c r="M74" s="2">
        <v>-0.1</v>
      </c>
      <c r="N74" s="45" t="s">
        <v>670</v>
      </c>
      <c r="O74" s="45" t="s">
        <v>640</v>
      </c>
      <c r="S74" s="111" t="s">
        <v>690</v>
      </c>
      <c r="T74" s="111"/>
      <c r="U74" s="159"/>
    </row>
    <row r="75" spans="1:21" x14ac:dyDescent="0.2">
      <c r="A75" s="329" t="s">
        <v>198</v>
      </c>
      <c r="B75" s="45">
        <v>2</v>
      </c>
      <c r="C75" s="45" t="s">
        <v>204</v>
      </c>
      <c r="D75" s="342"/>
      <c r="F75" s="342">
        <v>0.1</v>
      </c>
      <c r="G75" s="45" t="s">
        <v>107</v>
      </c>
      <c r="L75" s="45" t="s">
        <v>550</v>
      </c>
      <c r="M75" s="2">
        <v>-0.05</v>
      </c>
      <c r="N75" s="45" t="s">
        <v>677</v>
      </c>
      <c r="O75" s="159">
        <v>-0.15</v>
      </c>
      <c r="P75" s="45" t="s">
        <v>655</v>
      </c>
      <c r="S75" s="111" t="s">
        <v>709</v>
      </c>
      <c r="T75" s="111"/>
      <c r="U75" s="160"/>
    </row>
    <row r="76" spans="1:21" x14ac:dyDescent="0.2">
      <c r="A76" s="329" t="s">
        <v>199</v>
      </c>
      <c r="B76" s="45">
        <v>2</v>
      </c>
      <c r="C76" s="45" t="s">
        <v>204</v>
      </c>
      <c r="D76" s="342"/>
      <c r="F76" s="342">
        <v>0.1</v>
      </c>
      <c r="G76" s="45" t="s">
        <v>110</v>
      </c>
      <c r="L76" s="45" t="s">
        <v>552</v>
      </c>
      <c r="M76" s="434">
        <v>-2.5000000000000001E-2</v>
      </c>
      <c r="N76" s="45" t="s">
        <v>641</v>
      </c>
      <c r="S76" s="111" t="s">
        <v>691</v>
      </c>
      <c r="T76" s="111"/>
      <c r="U76" s="159"/>
    </row>
    <row r="77" spans="1:21" x14ac:dyDescent="0.2">
      <c r="A77" s="329" t="s">
        <v>205</v>
      </c>
      <c r="B77" s="45">
        <v>2.5</v>
      </c>
      <c r="C77" s="45" t="s">
        <v>204</v>
      </c>
      <c r="D77" s="342"/>
      <c r="F77" s="342">
        <v>0.1</v>
      </c>
      <c r="G77" s="45" t="s">
        <v>32</v>
      </c>
      <c r="L77" s="45" t="s">
        <v>554</v>
      </c>
      <c r="M77" s="2">
        <v>-0.1</v>
      </c>
      <c r="N77" s="45" t="s">
        <v>754</v>
      </c>
      <c r="S77" s="111" t="s">
        <v>1067</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555</v>
      </c>
      <c r="M79" s="434">
        <v>-0.1</v>
      </c>
      <c r="N79" s="45" t="s">
        <v>643</v>
      </c>
      <c r="S79" s="111" t="s">
        <v>693</v>
      </c>
      <c r="T79" s="111"/>
      <c r="U79" s="160"/>
    </row>
    <row r="80" spans="1:21" x14ac:dyDescent="0.2">
      <c r="A80" s="329" t="s">
        <v>531</v>
      </c>
      <c r="B80" s="45">
        <v>5</v>
      </c>
      <c r="C80" s="45" t="s">
        <v>204</v>
      </c>
      <c r="D80" s="342"/>
      <c r="F80" s="342">
        <v>0.2</v>
      </c>
      <c r="G80" s="45" t="s">
        <v>110</v>
      </c>
      <c r="H80" s="45" t="s">
        <v>248</v>
      </c>
      <c r="L80" s="45" t="s">
        <v>556</v>
      </c>
      <c r="M80" s="2">
        <v>0.15</v>
      </c>
      <c r="N80" s="45" t="s">
        <v>644</v>
      </c>
      <c r="S80" s="111" t="s">
        <v>694</v>
      </c>
      <c r="T80" s="111"/>
      <c r="U80" s="159"/>
    </row>
    <row r="81" spans="1:23" x14ac:dyDescent="0.2">
      <c r="A81" s="329" t="s">
        <v>532</v>
      </c>
      <c r="B81" s="45">
        <v>5</v>
      </c>
      <c r="C81" s="45" t="s">
        <v>204</v>
      </c>
      <c r="D81" s="342"/>
      <c r="F81" s="342">
        <v>0.3</v>
      </c>
      <c r="G81" s="45" t="s">
        <v>533</v>
      </c>
      <c r="L81" s="45" t="s">
        <v>557</v>
      </c>
      <c r="M81" s="2">
        <v>-0.1</v>
      </c>
      <c r="N81" s="45" t="s">
        <v>645</v>
      </c>
      <c r="S81" s="111" t="s">
        <v>695</v>
      </c>
      <c r="T81" s="111"/>
      <c r="U81" s="159"/>
    </row>
    <row r="82" spans="1:23" x14ac:dyDescent="0.2">
      <c r="A82" s="329" t="s">
        <v>263</v>
      </c>
      <c r="B82" s="45">
        <f>B80</f>
        <v>5</v>
      </c>
      <c r="C82" s="45" t="str">
        <f>C80</f>
        <v>* Landsize</v>
      </c>
      <c r="D82" s="159"/>
      <c r="F82" s="342">
        <v>0.2</v>
      </c>
      <c r="G82" s="45" t="s">
        <v>32</v>
      </c>
      <c r="H82" s="45" t="s">
        <v>260</v>
      </c>
      <c r="L82" s="45" t="s">
        <v>559</v>
      </c>
      <c r="M82" s="2">
        <v>-0.2</v>
      </c>
      <c r="N82" s="45" t="s">
        <v>646</v>
      </c>
      <c r="O82" s="167">
        <v>0.1</v>
      </c>
      <c r="P82" s="5" t="s">
        <v>1103</v>
      </c>
      <c r="S82" s="111" t="s">
        <v>696</v>
      </c>
      <c r="T82" s="111"/>
      <c r="U82" s="159"/>
    </row>
    <row r="83" spans="1:23" x14ac:dyDescent="0.2">
      <c r="A83" s="329" t="s">
        <v>262</v>
      </c>
      <c r="B83" s="45">
        <f>B80</f>
        <v>5</v>
      </c>
      <c r="C83" s="45" t="str">
        <f>C80</f>
        <v>* Landsize</v>
      </c>
      <c r="D83" s="159"/>
      <c r="F83" s="342">
        <v>0.1</v>
      </c>
      <c r="G83" s="45" t="s">
        <v>31</v>
      </c>
      <c r="L83" s="45" t="s">
        <v>560</v>
      </c>
      <c r="M83" s="2">
        <v>0.01</v>
      </c>
      <c r="N83" s="45" t="s">
        <v>647</v>
      </c>
      <c r="O83" s="45" t="s">
        <v>640</v>
      </c>
      <c r="S83" s="111" t="s">
        <v>697</v>
      </c>
      <c r="T83" s="111"/>
      <c r="U83" s="159"/>
    </row>
    <row r="84" spans="1:23" x14ac:dyDescent="0.2">
      <c r="A84" s="329" t="s">
        <v>300</v>
      </c>
      <c r="B84" s="45">
        <v>5</v>
      </c>
      <c r="C84" s="45" t="str">
        <f t="shared" ref="C84:C90" si="0">C83</f>
        <v>* Landsize</v>
      </c>
      <c r="D84" s="159"/>
      <c r="F84" s="159">
        <v>0.2</v>
      </c>
      <c r="G84" s="45" t="s">
        <v>107</v>
      </c>
      <c r="H84" s="159">
        <v>0.1</v>
      </c>
      <c r="I84" s="45" t="s">
        <v>108</v>
      </c>
      <c r="L84" s="45" t="s">
        <v>561</v>
      </c>
      <c r="M84" s="29">
        <v>-2.5000000000000001E-2</v>
      </c>
      <c r="N84" s="45" t="s">
        <v>639</v>
      </c>
      <c r="O84" s="160">
        <v>-0.05</v>
      </c>
      <c r="P84" s="45" t="s">
        <v>755</v>
      </c>
      <c r="S84" s="111" t="s">
        <v>689</v>
      </c>
      <c r="T84" s="111"/>
    </row>
    <row r="85" spans="1:23" x14ac:dyDescent="0.2">
      <c r="A85" s="329" t="s">
        <v>337</v>
      </c>
      <c r="B85" s="45">
        <f>B84</f>
        <v>5</v>
      </c>
      <c r="C85" s="45" t="str">
        <f t="shared" si="0"/>
        <v>* Landsize</v>
      </c>
      <c r="D85" s="159"/>
      <c r="F85" s="159">
        <v>0.1</v>
      </c>
      <c r="G85" s="45" t="s">
        <v>31</v>
      </c>
      <c r="H85" s="159">
        <v>0.1</v>
      </c>
      <c r="I85" s="45" t="s">
        <v>32</v>
      </c>
      <c r="L85" s="45" t="s">
        <v>563</v>
      </c>
      <c r="M85">
        <v>1.25</v>
      </c>
      <c r="N85" s="45" t="s">
        <v>674</v>
      </c>
      <c r="S85" s="111" t="s">
        <v>716</v>
      </c>
      <c r="T85" s="111"/>
      <c r="U85" s="160"/>
    </row>
    <row r="86" spans="1:23" x14ac:dyDescent="0.2">
      <c r="A86" s="329" t="s">
        <v>336</v>
      </c>
      <c r="B86" s="45">
        <f>B85</f>
        <v>5</v>
      </c>
      <c r="C86" s="45" t="str">
        <f t="shared" si="0"/>
        <v>* Landsize</v>
      </c>
      <c r="D86" s="159"/>
      <c r="F86" s="159">
        <v>0.15</v>
      </c>
      <c r="G86" s="45" t="s">
        <v>32</v>
      </c>
      <c r="H86" s="159" t="s">
        <v>338</v>
      </c>
      <c r="L86" s="45" t="s">
        <v>565</v>
      </c>
      <c r="M86" s="2">
        <v>-0.15</v>
      </c>
      <c r="N86" s="45" t="s">
        <v>643</v>
      </c>
      <c r="S86" s="111" t="s">
        <v>700</v>
      </c>
      <c r="T86" s="111"/>
      <c r="U86" s="159"/>
    </row>
    <row r="87" spans="1:23" x14ac:dyDescent="0.2">
      <c r="A87" s="329" t="s">
        <v>343</v>
      </c>
      <c r="B87" s="45">
        <v>5</v>
      </c>
      <c r="C87" s="344" t="str">
        <f t="shared" si="0"/>
        <v>* Landsize</v>
      </c>
      <c r="D87" s="159"/>
      <c r="F87" s="262">
        <v>15</v>
      </c>
      <c r="G87" s="45" t="s">
        <v>344</v>
      </c>
      <c r="H87" s="159"/>
      <c r="L87" s="45" t="s">
        <v>566</v>
      </c>
      <c r="M87" s="434">
        <v>-2.5000000000000001E-2</v>
      </c>
      <c r="N87" s="45" t="s">
        <v>639</v>
      </c>
      <c r="O87" s="45">
        <v>-1</v>
      </c>
      <c r="P87" s="45" t="s">
        <v>671</v>
      </c>
      <c r="S87" s="111" t="s">
        <v>701</v>
      </c>
      <c r="T87" s="111"/>
      <c r="U87" s="159"/>
    </row>
    <row r="88" spans="1:23" x14ac:dyDescent="0.2">
      <c r="A88" s="329" t="s">
        <v>427</v>
      </c>
      <c r="B88" s="45">
        <v>5</v>
      </c>
      <c r="C88" s="45" t="str">
        <f t="shared" si="0"/>
        <v>* Landsize</v>
      </c>
      <c r="D88" s="159"/>
      <c r="F88" s="121">
        <v>0.05</v>
      </c>
      <c r="G88" s="45" t="s">
        <v>31</v>
      </c>
      <c r="L88" s="45" t="s">
        <v>567</v>
      </c>
      <c r="M88" s="434">
        <v>-2.5000000000000001E-2</v>
      </c>
      <c r="N88" s="45" t="s">
        <v>645</v>
      </c>
      <c r="S88" s="111" t="s">
        <v>702</v>
      </c>
      <c r="T88" s="111"/>
      <c r="U88" s="160"/>
    </row>
    <row r="89" spans="1:23" x14ac:dyDescent="0.2">
      <c r="A89" s="329" t="s">
        <v>1085</v>
      </c>
      <c r="B89" s="45">
        <v>5</v>
      </c>
      <c r="C89" s="45" t="str">
        <f t="shared" si="0"/>
        <v>* Landsize</v>
      </c>
      <c r="D89" s="121">
        <v>0.01</v>
      </c>
      <c r="E89" s="45" t="s">
        <v>360</v>
      </c>
      <c r="F89" s="159">
        <v>0.1</v>
      </c>
      <c r="G89" s="45" t="s">
        <v>1087</v>
      </c>
      <c r="M89"/>
      <c r="S89" s="111"/>
      <c r="T89" s="111"/>
    </row>
    <row r="90" spans="1:23" x14ac:dyDescent="0.2">
      <c r="A90" s="329" t="s">
        <v>1092</v>
      </c>
      <c r="B90" s="45">
        <v>5</v>
      </c>
      <c r="C90" s="45" t="str">
        <f t="shared" si="0"/>
        <v>* Landsize</v>
      </c>
      <c r="F90" s="159">
        <v>0.15</v>
      </c>
      <c r="G90" s="45" t="s">
        <v>106</v>
      </c>
      <c r="L90" s="45" t="s">
        <v>569</v>
      </c>
      <c r="M90" s="2">
        <v>0.05</v>
      </c>
      <c r="N90" s="45" t="s">
        <v>648</v>
      </c>
      <c r="S90" s="111" t="s">
        <v>703</v>
      </c>
      <c r="T90" s="111"/>
    </row>
    <row r="91" spans="1:23" x14ac:dyDescent="0.2">
      <c r="L91" s="45" t="s">
        <v>571</v>
      </c>
      <c r="M91" s="434">
        <v>2.5000000000000001E-2</v>
      </c>
      <c r="N91" s="45" t="s">
        <v>650</v>
      </c>
      <c r="S91" s="111" t="s">
        <v>704</v>
      </c>
      <c r="T91" s="111"/>
      <c r="U91" s="160"/>
    </row>
    <row r="92" spans="1:23" x14ac:dyDescent="0.2">
      <c r="A92" s="328" t="s">
        <v>82</v>
      </c>
      <c r="L92" s="45" t="s">
        <v>573</v>
      </c>
      <c r="M92" s="434">
        <v>7.4999999999999997E-2</v>
      </c>
      <c r="N92" s="45" t="s">
        <v>651</v>
      </c>
      <c r="O92" s="121">
        <v>0.25</v>
      </c>
      <c r="P92" s="45" t="s">
        <v>652</v>
      </c>
      <c r="S92" s="111" t="s">
        <v>705</v>
      </c>
      <c r="T92" s="111"/>
      <c r="U92" s="160"/>
      <c r="W92" s="159"/>
    </row>
    <row r="93" spans="1:23" x14ac:dyDescent="0.2">
      <c r="A93" s="329" t="s">
        <v>270</v>
      </c>
      <c r="B93" s="45">
        <f>IF(Overview!$B$14="Kobold",40,30)</f>
        <v>30</v>
      </c>
      <c r="C93" s="45" t="s">
        <v>241</v>
      </c>
      <c r="L93" s="45" t="s">
        <v>574</v>
      </c>
      <c r="M93" s="434">
        <v>0.1</v>
      </c>
      <c r="N93" s="45" t="s">
        <v>635</v>
      </c>
      <c r="O93" s="159">
        <v>0.05</v>
      </c>
      <c r="P93" s="45" t="s">
        <v>653</v>
      </c>
      <c r="S93" s="111" t="s">
        <v>706</v>
      </c>
      <c r="T93" s="111"/>
      <c r="U93" s="160"/>
      <c r="W93" s="159"/>
    </row>
    <row r="94" spans="1:23" x14ac:dyDescent="0.2">
      <c r="L94" s="45" t="s">
        <v>575</v>
      </c>
      <c r="M94" s="434">
        <v>-1.7500000000000002E-2</v>
      </c>
      <c r="N94" s="45" t="s">
        <v>638</v>
      </c>
      <c r="S94" s="111" t="s">
        <v>688</v>
      </c>
      <c r="T94" s="111"/>
    </row>
    <row r="95" spans="1:23" x14ac:dyDescent="0.2">
      <c r="A95" s="328" t="s">
        <v>353</v>
      </c>
      <c r="L95" s="45" t="s">
        <v>576</v>
      </c>
      <c r="M95" s="434">
        <v>1.4999999999999999E-2</v>
      </c>
      <c r="N95" s="45" t="s">
        <v>649</v>
      </c>
      <c r="S95" s="111" t="s">
        <v>699</v>
      </c>
      <c r="T95" s="111"/>
      <c r="U95" s="159"/>
    </row>
    <row r="96" spans="1:23" x14ac:dyDescent="0.2">
      <c r="A96" s="329" t="s">
        <v>505</v>
      </c>
      <c r="B96" s="45">
        <v>250</v>
      </c>
      <c r="L96" s="45" t="s">
        <v>577</v>
      </c>
      <c r="M96" s="434">
        <v>-7.4999999999999997E-2</v>
      </c>
      <c r="N96" s="45" t="s">
        <v>639</v>
      </c>
      <c r="O96" s="45">
        <v>-2</v>
      </c>
      <c r="P96" s="45" t="s">
        <v>671</v>
      </c>
      <c r="S96" s="111" t="s">
        <v>707</v>
      </c>
      <c r="T96" s="111"/>
      <c r="U96" s="160"/>
    </row>
    <row r="97" spans="1:23" x14ac:dyDescent="0.2">
      <c r="A97" s="329" t="s">
        <v>506</v>
      </c>
      <c r="B97" s="159">
        <v>0.01</v>
      </c>
      <c r="L97" s="45" t="s">
        <v>578</v>
      </c>
      <c r="M97" s="2">
        <v>-0.5</v>
      </c>
      <c r="N97" s="45" t="s">
        <v>654</v>
      </c>
      <c r="S97" s="111" t="s">
        <v>708</v>
      </c>
      <c r="T97" s="111"/>
      <c r="U97" s="159"/>
    </row>
    <row r="98" spans="1:23" x14ac:dyDescent="0.2">
      <c r="A98" s="329" t="s">
        <v>507</v>
      </c>
      <c r="B98" s="159">
        <v>0.01</v>
      </c>
      <c r="L98" s="45" t="s">
        <v>580</v>
      </c>
      <c r="M98" s="2">
        <v>-0.1</v>
      </c>
      <c r="N98" s="45" t="s">
        <v>642</v>
      </c>
      <c r="S98" s="111" t="s">
        <v>692</v>
      </c>
      <c r="T98" s="111"/>
      <c r="U98" s="159"/>
      <c r="W98" s="159"/>
    </row>
    <row r="99" spans="1:23" x14ac:dyDescent="0.2">
      <c r="A99" s="329" t="s">
        <v>508</v>
      </c>
      <c r="B99" s="159">
        <v>0.01</v>
      </c>
      <c r="M99"/>
      <c r="S99" s="111"/>
      <c r="T99" s="111"/>
    </row>
    <row r="100" spans="1:23" x14ac:dyDescent="0.2">
      <c r="L100" s="45" t="s">
        <v>582</v>
      </c>
      <c r="M100" s="434">
        <v>0.125</v>
      </c>
      <c r="N100" s="45" t="s">
        <v>656</v>
      </c>
      <c r="S100" s="111" t="s">
        <v>710</v>
      </c>
      <c r="T100" s="111"/>
      <c r="U100" s="160"/>
    </row>
    <row r="101" spans="1:23" x14ac:dyDescent="0.2">
      <c r="A101" s="328" t="s">
        <v>458</v>
      </c>
      <c r="L101" s="45" t="s">
        <v>583</v>
      </c>
      <c r="M101"/>
      <c r="N101" s="45" t="s">
        <v>630</v>
      </c>
      <c r="S101" s="111" t="s">
        <v>711</v>
      </c>
      <c r="T101" s="111"/>
    </row>
    <row r="102" spans="1:23" x14ac:dyDescent="0.2">
      <c r="L102" s="45" t="s">
        <v>584</v>
      </c>
      <c r="M102" s="434">
        <v>2.5000000000000001E-2</v>
      </c>
      <c r="N102" s="45" t="s">
        <v>650</v>
      </c>
      <c r="O102" s="160">
        <v>7.4999999999999997E-2</v>
      </c>
      <c r="P102" s="45" t="s">
        <v>648</v>
      </c>
      <c r="S102" s="111" t="s">
        <v>712</v>
      </c>
      <c r="T102" s="111"/>
      <c r="U102" s="160"/>
      <c r="W102" s="160"/>
    </row>
    <row r="103" spans="1:23" x14ac:dyDescent="0.2">
      <c r="A103" s="329" t="s">
        <v>459</v>
      </c>
      <c r="B103" s="45" t="s">
        <v>212</v>
      </c>
      <c r="D103" s="342">
        <v>0.3</v>
      </c>
      <c r="E103" s="45" t="s">
        <v>438</v>
      </c>
      <c r="L103" s="45" t="s">
        <v>585</v>
      </c>
      <c r="M103" s="2">
        <v>0.04</v>
      </c>
      <c r="N103" s="45" t="s">
        <v>637</v>
      </c>
      <c r="S103" s="111" t="s">
        <v>713</v>
      </c>
      <c r="T103" s="111"/>
      <c r="U103" s="159"/>
    </row>
    <row r="104" spans="1:23" x14ac:dyDescent="0.2">
      <c r="B104" s="45" t="s">
        <v>210</v>
      </c>
      <c r="D104" s="342">
        <v>0.2</v>
      </c>
      <c r="E104" s="45" t="s">
        <v>438</v>
      </c>
      <c r="L104" s="45" t="s">
        <v>586</v>
      </c>
      <c r="M104">
        <v>2</v>
      </c>
      <c r="N104" s="45" t="s">
        <v>1102</v>
      </c>
      <c r="S104" s="111" t="s">
        <v>1066</v>
      </c>
      <c r="T104" s="111"/>
      <c r="U104" s="159"/>
    </row>
    <row r="105" spans="1:23" x14ac:dyDescent="0.2">
      <c r="B105" s="45" t="s">
        <v>460</v>
      </c>
      <c r="D105" s="342">
        <v>0.3</v>
      </c>
      <c r="E105" s="45" t="s">
        <v>438</v>
      </c>
      <c r="L105" s="45" t="s">
        <v>587</v>
      </c>
      <c r="M105" s="434">
        <v>-0.1</v>
      </c>
      <c r="N105" s="45" t="s">
        <v>645</v>
      </c>
      <c r="S105" s="111" t="s">
        <v>715</v>
      </c>
      <c r="T105" s="111"/>
      <c r="U105" s="159"/>
    </row>
    <row r="106" spans="1:23" x14ac:dyDescent="0.2">
      <c r="B106" s="45" t="s">
        <v>461</v>
      </c>
      <c r="D106" s="342">
        <v>0.6</v>
      </c>
      <c r="E106" s="45" t="s">
        <v>438</v>
      </c>
      <c r="L106" s="45" t="s">
        <v>589</v>
      </c>
      <c r="M106">
        <v>-1</v>
      </c>
      <c r="N106" s="45" t="s">
        <v>756</v>
      </c>
      <c r="S106" s="111" t="s">
        <v>1068</v>
      </c>
      <c r="T106" s="111"/>
      <c r="U106" s="160"/>
    </row>
    <row r="107" spans="1:23" x14ac:dyDescent="0.2">
      <c r="L107" s="45" t="s">
        <v>590</v>
      </c>
      <c r="M107" s="2">
        <v>-0.2</v>
      </c>
      <c r="N107" s="45" t="s">
        <v>657</v>
      </c>
      <c r="S107" s="111" t="s">
        <v>714</v>
      </c>
      <c r="T107" s="111"/>
    </row>
    <row r="108" spans="1:23" x14ac:dyDescent="0.2">
      <c r="A108" s="329" t="s">
        <v>462</v>
      </c>
      <c r="B108" s="45" t="s">
        <v>212</v>
      </c>
      <c r="D108" s="45">
        <v>4000</v>
      </c>
      <c r="E108" s="45" t="s">
        <v>509</v>
      </c>
      <c r="M108"/>
    </row>
    <row r="109" spans="1:23" x14ac:dyDescent="0.2">
      <c r="B109" s="45" t="s">
        <v>210</v>
      </c>
      <c r="D109" s="45">
        <v>4000</v>
      </c>
      <c r="E109" s="45" t="s">
        <v>509</v>
      </c>
      <c r="L109" s="45" t="s">
        <v>591</v>
      </c>
      <c r="M109" s="434">
        <v>2.5000000000000001E-2</v>
      </c>
      <c r="N109" s="45" t="s">
        <v>1072</v>
      </c>
      <c r="O109" s="45" t="s">
        <v>659</v>
      </c>
      <c r="S109" s="111" t="s">
        <v>718</v>
      </c>
      <c r="T109" s="111"/>
      <c r="U109" s="159"/>
      <c r="W109" s="159"/>
    </row>
    <row r="110" spans="1:23" x14ac:dyDescent="0.2">
      <c r="B110" s="45" t="s">
        <v>460</v>
      </c>
      <c r="D110" s="45">
        <v>7500</v>
      </c>
      <c r="E110" s="45" t="s">
        <v>509</v>
      </c>
      <c r="L110" s="45" t="s">
        <v>592</v>
      </c>
      <c r="M110" s="2">
        <v>-0.2</v>
      </c>
      <c r="N110" s="45" t="s">
        <v>675</v>
      </c>
      <c r="O110" s="159">
        <v>-0.2</v>
      </c>
      <c r="P110" s="45" t="s">
        <v>658</v>
      </c>
      <c r="Q110" s="5"/>
      <c r="R110" s="5"/>
      <c r="S110" s="111" t="s">
        <v>717</v>
      </c>
      <c r="T110" s="111"/>
    </row>
    <row r="111" spans="1:23" x14ac:dyDescent="0.2">
      <c r="B111" s="45" t="s">
        <v>529</v>
      </c>
      <c r="D111" s="45">
        <v>5000</v>
      </c>
      <c r="E111" s="45" t="s">
        <v>509</v>
      </c>
      <c r="L111" s="45" t="s">
        <v>593</v>
      </c>
      <c r="M111" s="434">
        <v>-1.7500000000000002E-2</v>
      </c>
      <c r="N111" s="45" t="s">
        <v>638</v>
      </c>
      <c r="S111" s="111" t="s">
        <v>719</v>
      </c>
      <c r="T111" s="111"/>
      <c r="U111" s="159"/>
    </row>
    <row r="112" spans="1:23" x14ac:dyDescent="0.2">
      <c r="B112" s="45" t="s">
        <v>213</v>
      </c>
      <c r="D112" s="45">
        <v>5000</v>
      </c>
      <c r="E112" s="45" t="s">
        <v>509</v>
      </c>
      <c r="L112" s="45" t="s">
        <v>594</v>
      </c>
      <c r="M112" s="434">
        <v>2.5000000000000001E-2</v>
      </c>
      <c r="N112" s="45" t="s">
        <v>667</v>
      </c>
      <c r="O112" s="160">
        <v>7.4999999999999997E-2</v>
      </c>
      <c r="P112" s="45" t="s">
        <v>660</v>
      </c>
      <c r="S112" s="111" t="s">
        <v>720</v>
      </c>
      <c r="T112" s="111"/>
      <c r="U112" s="160"/>
      <c r="W112" s="160"/>
    </row>
    <row r="113" spans="1:23" x14ac:dyDescent="0.2">
      <c r="L113" s="45" t="s">
        <v>595</v>
      </c>
      <c r="M113" s="434">
        <v>-1.7500000000000002E-2</v>
      </c>
      <c r="N113" s="45" t="s">
        <v>638</v>
      </c>
      <c r="S113" s="111" t="s">
        <v>721</v>
      </c>
      <c r="T113" s="111"/>
      <c r="U113" s="159"/>
    </row>
    <row r="114" spans="1:23" x14ac:dyDescent="0.2">
      <c r="A114" s="328" t="s">
        <v>463</v>
      </c>
      <c r="F114" s="45" t="s">
        <v>465</v>
      </c>
      <c r="L114" s="45" t="s">
        <v>596</v>
      </c>
      <c r="M114">
        <v>1</v>
      </c>
      <c r="N114" s="45" t="s">
        <v>673</v>
      </c>
      <c r="S114" s="111" t="s">
        <v>395</v>
      </c>
      <c r="T114" s="111"/>
      <c r="U114" s="159"/>
      <c r="W114" s="159"/>
    </row>
    <row r="115" spans="1:23" x14ac:dyDescent="0.2">
      <c r="A115" s="329" t="s">
        <v>125</v>
      </c>
      <c r="B115" s="253"/>
      <c r="C115" s="345">
        <v>0.2</v>
      </c>
      <c r="D115" s="45" t="s">
        <v>469</v>
      </c>
      <c r="F115" s="180">
        <v>4.5</v>
      </c>
      <c r="L115" s="45" t="s">
        <v>597</v>
      </c>
      <c r="M115" s="2">
        <v>-0.01</v>
      </c>
      <c r="N115" s="45" t="s">
        <v>661</v>
      </c>
      <c r="S115" s="111" t="s">
        <v>723</v>
      </c>
      <c r="T115" s="111"/>
      <c r="U115" s="159"/>
    </row>
    <row r="116" spans="1:23" x14ac:dyDescent="0.2">
      <c r="A116" s="329" t="s">
        <v>126</v>
      </c>
      <c r="B116" s="119" t="s">
        <v>295</v>
      </c>
      <c r="C116" s="345">
        <v>0.2</v>
      </c>
      <c r="D116" s="45" t="s">
        <v>469</v>
      </c>
      <c r="F116" s="180">
        <v>4.5</v>
      </c>
      <c r="M116"/>
      <c r="S116" s="111"/>
      <c r="T116" s="111"/>
    </row>
    <row r="117" spans="1:23" x14ac:dyDescent="0.2">
      <c r="B117" s="45" t="s">
        <v>294</v>
      </c>
      <c r="C117" s="121">
        <v>0.2</v>
      </c>
      <c r="D117" s="45" t="s">
        <v>469</v>
      </c>
      <c r="F117" s="180">
        <v>4.5</v>
      </c>
      <c r="L117" s="45" t="s">
        <v>598</v>
      </c>
      <c r="M117" s="434">
        <v>0.01</v>
      </c>
      <c r="N117" s="45" t="s">
        <v>649</v>
      </c>
      <c r="O117" s="506">
        <v>1</v>
      </c>
      <c r="P117" s="5" t="s">
        <v>679</v>
      </c>
      <c r="S117" s="111" t="s">
        <v>722</v>
      </c>
      <c r="T117" s="111"/>
      <c r="U117" s="160"/>
    </row>
    <row r="118" spans="1:23" x14ac:dyDescent="0.2">
      <c r="A118" s="329" t="s">
        <v>140</v>
      </c>
      <c r="B118" s="253"/>
      <c r="C118" s="345">
        <v>0.2</v>
      </c>
      <c r="D118" s="45" t="s">
        <v>469</v>
      </c>
      <c r="F118" s="180">
        <v>4</v>
      </c>
      <c r="L118" s="45" t="s">
        <v>599</v>
      </c>
      <c r="M118" s="434">
        <v>2.5000000000000001E-2</v>
      </c>
      <c r="N118" s="45" t="s">
        <v>650</v>
      </c>
      <c r="O118" s="159">
        <v>-0.05</v>
      </c>
      <c r="P118" s="45" t="s">
        <v>662</v>
      </c>
      <c r="S118" s="111" t="s">
        <v>725</v>
      </c>
      <c r="T118" s="111"/>
      <c r="U118" s="160"/>
      <c r="W118" s="159"/>
    </row>
    <row r="119" spans="1:23" x14ac:dyDescent="0.2">
      <c r="A119" s="329" t="s">
        <v>133</v>
      </c>
      <c r="B119" s="253"/>
      <c r="C119" s="345">
        <v>0.2</v>
      </c>
      <c r="D119" s="45" t="s">
        <v>470</v>
      </c>
      <c r="F119" s="180">
        <v>2</v>
      </c>
      <c r="L119" s="45" t="s">
        <v>601</v>
      </c>
      <c r="M119" s="2">
        <v>-0.05</v>
      </c>
      <c r="N119" s="45" t="s">
        <v>645</v>
      </c>
      <c r="O119" s="159">
        <v>-0.1</v>
      </c>
      <c r="P119" s="45" t="s">
        <v>658</v>
      </c>
      <c r="Q119" s="45">
        <v>5</v>
      </c>
      <c r="R119" s="45" t="s">
        <v>678</v>
      </c>
      <c r="S119" s="111" t="s">
        <v>1069</v>
      </c>
      <c r="T119" s="111"/>
      <c r="U119" s="159"/>
      <c r="W119" s="159"/>
    </row>
    <row r="120" spans="1:23" x14ac:dyDescent="0.2">
      <c r="A120" s="329" t="s">
        <v>1077</v>
      </c>
      <c r="B120" s="119" t="s">
        <v>295</v>
      </c>
      <c r="C120" s="345">
        <v>0.1</v>
      </c>
      <c r="D120" s="45" t="s">
        <v>298</v>
      </c>
      <c r="F120" s="180">
        <v>0</v>
      </c>
      <c r="L120" s="45" t="s">
        <v>602</v>
      </c>
      <c r="M120" s="434">
        <v>-0.125</v>
      </c>
      <c r="N120" s="45" t="s">
        <v>663</v>
      </c>
      <c r="S120" s="111" t="s">
        <v>726</v>
      </c>
      <c r="T120" s="111"/>
      <c r="U120" s="160"/>
    </row>
    <row r="121" spans="1:23" x14ac:dyDescent="0.2">
      <c r="B121" s="45" t="s">
        <v>294</v>
      </c>
      <c r="C121" s="346">
        <v>0.1</v>
      </c>
      <c r="D121" s="45" t="s">
        <v>298</v>
      </c>
      <c r="F121" s="180">
        <v>0</v>
      </c>
      <c r="L121" s="45" t="s">
        <v>604</v>
      </c>
      <c r="M121" s="29">
        <v>1.4999999999999999E-2</v>
      </c>
      <c r="N121" s="45" t="s">
        <v>649</v>
      </c>
      <c r="S121" s="111" t="s">
        <v>724</v>
      </c>
      <c r="T121" s="111"/>
      <c r="U121" s="159"/>
    </row>
    <row r="122" spans="1:23" x14ac:dyDescent="0.2">
      <c r="A122" s="329" t="s">
        <v>464</v>
      </c>
      <c r="B122" s="253"/>
      <c r="C122" s="345">
        <v>0.2</v>
      </c>
      <c r="D122" s="45" t="s">
        <v>470</v>
      </c>
      <c r="F122" s="180">
        <v>3</v>
      </c>
      <c r="L122" s="45" t="s">
        <v>605</v>
      </c>
      <c r="M122" s="29">
        <v>7.4999999999999997E-2</v>
      </c>
      <c r="N122" s="45" t="s">
        <v>676</v>
      </c>
      <c r="O122" s="159">
        <v>-0.05</v>
      </c>
      <c r="P122" s="45" t="s">
        <v>664</v>
      </c>
      <c r="S122" s="111" t="s">
        <v>728</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606</v>
      </c>
      <c r="M124" s="2">
        <v>0.3</v>
      </c>
      <c r="N124" s="45" t="s">
        <v>665</v>
      </c>
      <c r="S124" s="111" t="s">
        <v>729</v>
      </c>
      <c r="T124" s="111"/>
      <c r="U124" s="159"/>
    </row>
    <row r="125" spans="1:23" x14ac:dyDescent="0.2">
      <c r="A125" s="329" t="s">
        <v>359</v>
      </c>
      <c r="B125" s="180" t="s">
        <v>468</v>
      </c>
      <c r="C125" s="119">
        <v>250</v>
      </c>
      <c r="D125" s="45" t="s">
        <v>467</v>
      </c>
      <c r="F125" s="180">
        <v>4</v>
      </c>
      <c r="L125" s="45" t="s">
        <v>608</v>
      </c>
      <c r="M125">
        <v>1.25</v>
      </c>
      <c r="N125" s="45" t="s">
        <v>680</v>
      </c>
      <c r="S125" s="111" t="s">
        <v>733</v>
      </c>
      <c r="T125" s="111"/>
      <c r="U125" s="159"/>
    </row>
    <row r="126" spans="1:23" x14ac:dyDescent="0.2">
      <c r="A126" s="329" t="s">
        <v>425</v>
      </c>
      <c r="B126" s="253"/>
      <c r="C126" s="121">
        <v>0.1</v>
      </c>
      <c r="D126" s="45" t="s">
        <v>500</v>
      </c>
      <c r="F126" s="180">
        <v>4</v>
      </c>
      <c r="L126" s="45" t="s">
        <v>610</v>
      </c>
      <c r="M126" s="434">
        <v>-7.4999999999999997E-2</v>
      </c>
      <c r="N126" s="45" t="s">
        <v>664</v>
      </c>
      <c r="O126" s="160">
        <v>7.4999999999999997E-3</v>
      </c>
      <c r="P126" s="45" t="s">
        <v>757</v>
      </c>
      <c r="S126" s="111" t="s">
        <v>1070</v>
      </c>
      <c r="T126" s="111"/>
      <c r="U126" s="159"/>
    </row>
    <row r="127" spans="1:23" x14ac:dyDescent="0.2">
      <c r="L127" s="45" t="s">
        <v>611</v>
      </c>
      <c r="M127" s="434">
        <v>2.5000000000000001E-2</v>
      </c>
      <c r="N127" s="45" t="s">
        <v>667</v>
      </c>
      <c r="S127" s="111" t="s">
        <v>731</v>
      </c>
      <c r="T127" s="111"/>
      <c r="U127" s="160"/>
    </row>
    <row r="128" spans="1:23" x14ac:dyDescent="0.2">
      <c r="A128" s="328" t="s">
        <v>266</v>
      </c>
      <c r="L128" s="45" t="s">
        <v>612</v>
      </c>
      <c r="M128" s="434">
        <v>-2.5000000000000001E-2</v>
      </c>
      <c r="N128" s="45" t="s">
        <v>641</v>
      </c>
      <c r="O128" s="5">
        <v>2</v>
      </c>
      <c r="P128" s="5" t="s">
        <v>679</v>
      </c>
      <c r="S128" s="111" t="s">
        <v>732</v>
      </c>
      <c r="T128" s="111"/>
      <c r="U128" s="160"/>
    </row>
    <row r="129" spans="1:23" x14ac:dyDescent="0.2">
      <c r="A129" s="329" t="s">
        <v>481</v>
      </c>
      <c r="B129" s="45">
        <v>20</v>
      </c>
      <c r="M129"/>
      <c r="S129" s="111"/>
      <c r="T129" s="111"/>
    </row>
    <row r="130" spans="1:23" x14ac:dyDescent="0.2">
      <c r="A130" s="329" t="s">
        <v>479</v>
      </c>
      <c r="B130" s="45">
        <v>0</v>
      </c>
      <c r="C130" s="45" t="s">
        <v>480</v>
      </c>
      <c r="L130" s="45" t="s">
        <v>614</v>
      </c>
      <c r="M130" s="2">
        <v>0.6</v>
      </c>
      <c r="N130" s="45" t="s">
        <v>758</v>
      </c>
      <c r="S130" s="111" t="s">
        <v>1071</v>
      </c>
      <c r="T130" s="111"/>
    </row>
    <row r="131" spans="1:23" x14ac:dyDescent="0.2">
      <c r="L131" s="45" t="s">
        <v>615</v>
      </c>
      <c r="M131" s="434">
        <v>-7.4999999999999997E-2</v>
      </c>
      <c r="N131" s="45" t="s">
        <v>664</v>
      </c>
      <c r="S131" s="111" t="s">
        <v>734</v>
      </c>
      <c r="T131" s="111"/>
      <c r="U131" s="160"/>
    </row>
    <row r="132" spans="1:23" x14ac:dyDescent="0.2">
      <c r="A132" s="328" t="s">
        <v>759</v>
      </c>
      <c r="L132" s="45" t="s">
        <v>617</v>
      </c>
      <c r="M132">
        <v>2</v>
      </c>
      <c r="N132" s="45" t="s">
        <v>681</v>
      </c>
      <c r="S132" s="111" t="s">
        <v>735</v>
      </c>
      <c r="T132" s="111"/>
    </row>
    <row r="133" spans="1:23" x14ac:dyDescent="0.2">
      <c r="A133" s="329" t="s">
        <v>89</v>
      </c>
      <c r="B133" s="45" t="s">
        <v>3</v>
      </c>
      <c r="L133" s="45" t="s">
        <v>619</v>
      </c>
      <c r="M133" s="2">
        <v>0.3</v>
      </c>
      <c r="N133" s="45" t="s">
        <v>668</v>
      </c>
      <c r="S133" s="111" t="s">
        <v>736</v>
      </c>
      <c r="T133" s="111"/>
      <c r="U133" s="159"/>
    </row>
    <row r="134" spans="1:23" x14ac:dyDescent="0.2">
      <c r="A134" s="329" t="s">
        <v>90</v>
      </c>
      <c r="B134" s="45" t="s">
        <v>3</v>
      </c>
      <c r="M134"/>
      <c r="S134" s="111"/>
      <c r="T134" s="111"/>
    </row>
    <row r="135" spans="1:23" x14ac:dyDescent="0.2">
      <c r="A135" s="329" t="s">
        <v>91</v>
      </c>
      <c r="B135" s="45" t="s">
        <v>3</v>
      </c>
      <c r="L135" s="45" t="s">
        <v>620</v>
      </c>
      <c r="M135" s="2">
        <v>-0.15</v>
      </c>
      <c r="N135" s="45" t="s">
        <v>677</v>
      </c>
      <c r="O135" s="159">
        <v>-0.05</v>
      </c>
      <c r="P135" s="45" t="s">
        <v>655</v>
      </c>
      <c r="S135" s="111" t="s">
        <v>737</v>
      </c>
      <c r="T135" s="111"/>
      <c r="U135" s="159"/>
      <c r="W135" s="159"/>
    </row>
    <row r="136" spans="1:23" x14ac:dyDescent="0.2">
      <c r="A136" s="329" t="s">
        <v>92</v>
      </c>
      <c r="B136" s="45" t="s">
        <v>3</v>
      </c>
      <c r="L136" s="45" t="s">
        <v>622</v>
      </c>
      <c r="M136" s="434">
        <v>-0.05</v>
      </c>
      <c r="N136" s="45" t="s">
        <v>645</v>
      </c>
      <c r="S136" s="111" t="s">
        <v>738</v>
      </c>
      <c r="T136" s="111"/>
      <c r="U136" s="160"/>
    </row>
    <row r="137" spans="1:23" x14ac:dyDescent="0.2">
      <c r="A137" s="329" t="s">
        <v>93</v>
      </c>
      <c r="B137" s="45" t="s">
        <v>3</v>
      </c>
      <c r="L137" s="45" t="s">
        <v>623</v>
      </c>
      <c r="M137" s="2">
        <v>-0.25</v>
      </c>
      <c r="N137" s="45" t="s">
        <v>669</v>
      </c>
      <c r="S137" s="111" t="s">
        <v>739</v>
      </c>
      <c r="T137" s="111"/>
      <c r="U137" s="159"/>
    </row>
    <row r="138" spans="1:23" x14ac:dyDescent="0.2">
      <c r="A138" s="329" t="s">
        <v>94</v>
      </c>
      <c r="B138" s="45" t="s">
        <v>3</v>
      </c>
      <c r="M138"/>
      <c r="S138" s="111"/>
      <c r="T138" s="111"/>
    </row>
    <row r="139" spans="1:23" x14ac:dyDescent="0.2">
      <c r="A139" s="329" t="s">
        <v>95</v>
      </c>
      <c r="B139" s="45" t="s">
        <v>3</v>
      </c>
      <c r="L139" s="45" t="s">
        <v>624</v>
      </c>
      <c r="M139" s="29">
        <v>7.4999999999999997E-2</v>
      </c>
      <c r="N139" s="45" t="s">
        <v>666</v>
      </c>
      <c r="S139" s="111" t="s">
        <v>730</v>
      </c>
      <c r="T139" s="111"/>
      <c r="U139" s="160"/>
    </row>
    <row r="140" spans="1:23" x14ac:dyDescent="0.2">
      <c r="A140" s="329" t="s">
        <v>96</v>
      </c>
      <c r="B140" s="45" t="s">
        <v>7</v>
      </c>
      <c r="L140" s="45" t="s">
        <v>626</v>
      </c>
      <c r="M140" s="434">
        <v>-7.4999999999999997E-2</v>
      </c>
      <c r="N140" s="45" t="s">
        <v>663</v>
      </c>
      <c r="S140" s="111" t="s">
        <v>740</v>
      </c>
      <c r="T140" s="111"/>
      <c r="U140" s="159"/>
    </row>
    <row r="141" spans="1:23" x14ac:dyDescent="0.2">
      <c r="A141" s="329" t="s">
        <v>97</v>
      </c>
      <c r="B141" s="45" t="s">
        <v>3</v>
      </c>
      <c r="M141"/>
    </row>
    <row r="142" spans="1:23" x14ac:dyDescent="0.2">
      <c r="A142" s="329" t="s">
        <v>29</v>
      </c>
      <c r="B142" s="45" t="s">
        <v>3</v>
      </c>
      <c r="L142" s="45" t="s">
        <v>627</v>
      </c>
      <c r="M142" s="2">
        <v>-0.05</v>
      </c>
      <c r="N142" s="45" t="s">
        <v>664</v>
      </c>
      <c r="S142" s="45" t="s">
        <v>741</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3</v>
      </c>
    </row>
    <row r="152" spans="1:13" x14ac:dyDescent="0.2">
      <c r="A152" s="329" t="s">
        <v>501</v>
      </c>
      <c r="B152" s="45" t="s">
        <v>12</v>
      </c>
    </row>
    <row r="154" spans="1:13" x14ac:dyDescent="0.2">
      <c r="A154" s="329" t="s">
        <v>1055</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1056</v>
      </c>
    </row>
    <row r="161" spans="1:2" x14ac:dyDescent="0.2">
      <c r="A161" s="329" t="s">
        <v>280</v>
      </c>
      <c r="B161" s="159">
        <v>0.75</v>
      </c>
    </row>
    <row r="163" spans="1:2" x14ac:dyDescent="0.2">
      <c r="A163" s="328" t="s">
        <v>1124</v>
      </c>
    </row>
    <row r="164" spans="1:2" x14ac:dyDescent="0.2">
      <c r="A164" s="329" t="s">
        <v>455</v>
      </c>
      <c r="B164" s="45">
        <v>5</v>
      </c>
    </row>
  </sheetData>
  <phoneticPr fontId="0" type="noConversion"/>
  <conditionalFormatting sqref="J25:L25">
    <cfRule type="expression" dxfId="1"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284</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764</v>
      </c>
      <c r="D4" s="347" t="s">
        <v>765</v>
      </c>
      <c r="E4" s="348" t="s">
        <v>766</v>
      </c>
      <c r="F4" s="348" t="s">
        <v>767</v>
      </c>
      <c r="G4" s="348" t="s">
        <v>768</v>
      </c>
      <c r="H4" s="351" t="s">
        <v>769</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489</v>
      </c>
      <c r="Y4" s="436" t="s">
        <v>490</v>
      </c>
      <c r="Z4" s="436" t="s">
        <v>527</v>
      </c>
      <c r="AA4" s="436" t="s">
        <v>1076</v>
      </c>
    </row>
    <row r="5" spans="1:27"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245</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245</v>
      </c>
      <c r="D9" s="367" t="s">
        <v>1082</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245</v>
      </c>
      <c r="D11" s="353" t="s">
        <v>118</v>
      </c>
      <c r="E11" s="96">
        <v>2</v>
      </c>
      <c r="F11" s="96">
        <v>5</v>
      </c>
      <c r="G11" s="96">
        <v>980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245</v>
      </c>
      <c r="D12" s="353" t="s">
        <v>1083</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1120</v>
      </c>
      <c r="E29" s="368">
        <v>3</v>
      </c>
      <c r="F29" s="368"/>
      <c r="G29" s="368">
        <v>285</v>
      </c>
      <c r="H29" s="358">
        <v>0</v>
      </c>
      <c r="I29" s="366">
        <v>5</v>
      </c>
      <c r="J29" s="369"/>
      <c r="K29" s="370"/>
      <c r="L29" s="370"/>
      <c r="M29" s="370">
        <v>0.05</v>
      </c>
      <c r="N29" s="370">
        <v>-0.15</v>
      </c>
      <c r="O29" s="370"/>
      <c r="P29" s="370"/>
      <c r="Q29" s="370">
        <v>-0.05</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246</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1077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1114</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1115</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1116</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1078</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1079</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1080</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1117</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1118</v>
      </c>
      <c r="E63" s="96">
        <v>3</v>
      </c>
      <c r="F63" s="96">
        <v>3</v>
      </c>
      <c r="G63" s="96">
        <v>1375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1119</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385</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501</v>
      </c>
      <c r="B81" s="366" t="s">
        <v>30</v>
      </c>
      <c r="C81" s="372" t="s">
        <v>60</v>
      </c>
      <c r="D81" s="358" t="s">
        <v>423</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501</v>
      </c>
      <c r="B82" s="352" t="s">
        <v>30</v>
      </c>
      <c r="C82" s="373" t="s">
        <v>60</v>
      </c>
      <c r="D82" s="298" t="s">
        <v>424</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501</v>
      </c>
      <c r="B83" s="352" t="s">
        <v>30</v>
      </c>
      <c r="C83" s="373" t="s">
        <v>60</v>
      </c>
      <c r="D83" s="298" t="s">
        <v>425</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501</v>
      </c>
      <c r="B84" s="352" t="s">
        <v>30</v>
      </c>
      <c r="C84" s="373" t="s">
        <v>60</v>
      </c>
      <c r="D84" s="298" t="s">
        <v>426</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770</v>
      </c>
      <c r="B85" s="352" t="s">
        <v>770</v>
      </c>
      <c r="C85" s="373" t="s">
        <v>770</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770</v>
      </c>
      <c r="B86" s="352" t="s">
        <v>770</v>
      </c>
      <c r="C86" s="373" t="s">
        <v>770</v>
      </c>
      <c r="D86" s="63" t="s">
        <v>1099</v>
      </c>
      <c r="G86" s="96">
        <v>1000</v>
      </c>
      <c r="H86" s="96" t="s">
        <v>1100</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770</v>
      </c>
      <c r="B87" s="352" t="s">
        <v>770</v>
      </c>
      <c r="C87" s="373" t="s">
        <v>770</v>
      </c>
      <c r="D87" s="63" t="s">
        <v>183</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770</v>
      </c>
      <c r="B88" s="352" t="s">
        <v>770</v>
      </c>
      <c r="C88" s="373" t="s">
        <v>770</v>
      </c>
      <c r="D88" s="63" t="s">
        <v>184</v>
      </c>
      <c r="G88" s="96">
        <v>1000</v>
      </c>
      <c r="H88" s="96" t="s">
        <v>250</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362</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331</v>
      </c>
      <c r="B106" s="298">
        <v>69</v>
      </c>
      <c r="J106" s="379"/>
      <c r="K106" s="379"/>
      <c r="L106" s="379"/>
      <c r="M106" s="379"/>
      <c r="N106" s="379"/>
      <c r="O106" s="379"/>
      <c r="P106" s="379"/>
      <c r="Q106" s="379"/>
      <c r="R106" s="379"/>
      <c r="S106" s="379"/>
      <c r="T106" s="379"/>
      <c r="U106" s="379"/>
      <c r="V106" s="379"/>
    </row>
    <row r="107" spans="1:22" ht="19.5" customHeight="1" x14ac:dyDescent="0.2">
      <c r="A107" s="376" t="s">
        <v>345</v>
      </c>
      <c r="B107" s="298">
        <v>73</v>
      </c>
      <c r="J107" s="379"/>
      <c r="K107" s="379"/>
      <c r="L107" s="379"/>
      <c r="M107" s="379"/>
      <c r="N107" s="379"/>
      <c r="O107" s="379"/>
      <c r="P107" s="379"/>
      <c r="Q107" s="379"/>
      <c r="R107" s="379"/>
      <c r="S107" s="379"/>
      <c r="T107" s="379"/>
      <c r="U107" s="379"/>
      <c r="V107" s="379"/>
    </row>
    <row r="108" spans="1:22" ht="19.5" customHeight="1" x14ac:dyDescent="0.2">
      <c r="A108" s="376" t="s">
        <v>144</v>
      </c>
      <c r="B108" s="298">
        <v>77</v>
      </c>
      <c r="J108" s="379"/>
      <c r="K108" s="379"/>
      <c r="L108" s="379"/>
      <c r="M108" s="379"/>
      <c r="N108" s="379"/>
      <c r="O108" s="379"/>
      <c r="P108" s="379"/>
      <c r="Q108" s="379"/>
      <c r="R108" s="379"/>
      <c r="S108" s="379"/>
      <c r="T108" s="379"/>
      <c r="U108" s="379"/>
      <c r="V108" s="379"/>
    </row>
    <row r="109" spans="1:22" ht="19.5" customHeight="1" x14ac:dyDescent="0.2">
      <c r="A109" s="376" t="s">
        <v>501</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325</vt:i4>
      </vt:variant>
    </vt:vector>
  </HeadingPairs>
  <TitlesOfParts>
    <vt:vector size="340"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2024-01-04T03:25:46Z</dcterms:modified>
</cp:coreProperties>
</file>