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2C7A5E8B-0899-4119-9857-8E660FA37FD7}"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ct_xtra_prod">Constants!$B$167</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Constants!$O$117</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174" i="6"/>
  <c r="B173" i="6"/>
  <c r="B172" i="6"/>
  <c r="B171" i="6"/>
  <c r="B170" i="6"/>
  <c r="B169" i="6"/>
  <c r="B168" i="6"/>
  <c r="CL13" i="8"/>
  <c r="E15" i="4"/>
  <c r="AE136" i="1" l="1"/>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J4" i="2" l="1"/>
  <c r="AS2" i="8"/>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E6" i="9" l="1"/>
  <c r="AG6" i="9"/>
  <c r="AF6" i="9"/>
  <c r="AJ6" i="9"/>
  <c r="AD6" i="9"/>
  <c r="AL6" i="9"/>
  <c r="AE7" i="9" l="1"/>
  <c r="AL7" i="9"/>
  <c r="AG7" i="9"/>
  <c r="AF7" i="9"/>
  <c r="AJ7" i="9"/>
  <c r="AD7" i="9"/>
  <c r="AE8" i="9" l="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E9" i="9" l="1"/>
  <c r="AL9" i="9"/>
  <c r="O6" i="1"/>
  <c r="AG9" i="9"/>
  <c r="AF9" i="9"/>
  <c r="AJ9" i="9"/>
  <c r="AD9" i="9"/>
  <c r="AC4" i="1"/>
  <c r="AB4" i="1"/>
  <c r="AE10" i="9" l="1"/>
  <c r="AL10" i="9"/>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E11" i="9" l="1"/>
  <c r="CE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7" i="3"/>
  <c r="I88" i="3"/>
  <c r="J5" i="10"/>
  <c r="N5" i="5" s="1"/>
  <c r="C1270" i="1"/>
  <c r="B1270" i="11"/>
  <c r="C1270" i="2"/>
  <c r="A1270" i="10"/>
  <c r="B1270" i="7"/>
  <c r="A1270" i="5"/>
  <c r="B1270" i="8"/>
  <c r="P5" i="2"/>
  <c r="AE12" i="9" l="1"/>
  <c r="I6" i="12"/>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E13" i="9" l="1"/>
  <c r="CV5" i="5"/>
  <c r="L5" i="5" s="1"/>
  <c r="G7" i="8"/>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AE14" i="9" l="1"/>
  <c r="J5" i="2"/>
  <c r="K7" i="11"/>
  <c r="BI6" i="5"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I4" i="2"/>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M7" i="5" l="1" a="1"/>
  <c r="BM7" i="5" s="1"/>
  <c r="BM8" i="5" s="1" a="1"/>
  <c r="BM8" i="5" s="1"/>
  <c r="AE15" i="9"/>
  <c r="J6" i="2"/>
  <c r="AZ7" i="5" a="1"/>
  <c r="AZ7" i="5" s="1"/>
  <c r="AZ8" i="5" s="1" a="1"/>
  <c r="AZ8" i="5" s="1"/>
  <c r="BF7" i="5" a="1"/>
  <c r="BF7" i="5" s="1"/>
  <c r="AE6" i="1" s="1"/>
  <c r="AE5" i="1"/>
  <c r="W5" i="1" s="1"/>
  <c r="G9" i="8"/>
  <c r="CE8" i="8"/>
  <c r="O8" i="2"/>
  <c r="BQ8" i="5" a="1"/>
  <c r="BQ8" i="5" s="1"/>
  <c r="BJ8" i="5" a="1"/>
  <c r="BJ8" i="5" s="1"/>
  <c r="BA8" i="5" a="1"/>
  <c r="BA8" i="5" s="1"/>
  <c r="BK8" i="5" a="1"/>
  <c r="BK8" i="5" s="1"/>
  <c r="BH8" i="5" a="1"/>
  <c r="BH8" i="5" s="1"/>
  <c r="AL15" i="9"/>
  <c r="AD5" i="1"/>
  <c r="AY8" i="5" a="1"/>
  <c r="AY8" i="5" s="1"/>
  <c r="BL8" i="5" a="1"/>
  <c r="BL8" i="5" s="1"/>
  <c r="CU8" i="5"/>
  <c r="CT8" i="5"/>
  <c r="CR8" i="5"/>
  <c r="CW8" i="5"/>
  <c r="CQ8" i="5"/>
  <c r="CS8" i="5"/>
  <c r="CV8" i="5"/>
  <c r="AD6" i="1"/>
  <c r="BC8" i="5" a="1"/>
  <c r="BC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B4" i="2"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BL4" i="8" s="1"/>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4" i="8" l="1"/>
  <c r="BP4" i="8"/>
  <c r="BN4" i="8"/>
  <c r="AE16" i="9"/>
  <c r="AW5" i="5"/>
  <c r="J7" i="2"/>
  <c r="BF8" i="5" a="1"/>
  <c r="BF8" i="5" s="1"/>
  <c r="AE7" i="1" s="1"/>
  <c r="BJ9" i="5"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AV5" i="5"/>
  <c r="BP8" i="5" a="1"/>
  <c r="BP8" i="5" s="1"/>
  <c r="BG5" i="8"/>
  <c r="BT5" i="8" s="1"/>
  <c r="O13" i="1"/>
  <c r="AM4" i="5"/>
  <c r="BT4" i="8"/>
  <c r="BS4" i="8"/>
  <c r="BO4" i="8"/>
  <c r="BM4" i="8"/>
  <c r="BK4" i="8"/>
  <c r="BI4" i="8"/>
  <c r="BW4" i="8"/>
  <c r="CC4" i="8" s="1"/>
  <c r="AC4" i="10"/>
  <c r="X4" i="10" s="1"/>
  <c r="AN4" i="5"/>
  <c r="AR4" i="5" s="1"/>
  <c r="AS8" i="5"/>
  <c r="AK8" i="11"/>
  <c r="AH8" i="11"/>
  <c r="B5" i="7"/>
  <c r="AE5" i="7" s="1"/>
  <c r="AF5" i="7" s="1"/>
  <c r="X5" i="8"/>
  <c r="DA5" i="8" s="1"/>
  <c r="AI5" i="5"/>
  <c r="B5" i="9"/>
  <c r="X5" i="9" s="1"/>
  <c r="AC5" i="8"/>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CZ7" i="5"/>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BJ5" i="8" l="1"/>
  <c r="BL5" i="8"/>
  <c r="BP5" i="8"/>
  <c r="BN5" i="8"/>
  <c r="AW6" i="5"/>
  <c r="AB5" i="2"/>
  <c r="AE17" i="9"/>
  <c r="J8" i="2"/>
  <c r="BF9" i="5" a="1"/>
  <c r="BF9" i="5" s="1"/>
  <c r="AE8" i="1" s="1"/>
  <c r="G11" i="8"/>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O5" i="8"/>
  <c r="BM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AC6" i="8"/>
  <c r="A6" i="11"/>
  <c r="N6" i="11" s="1"/>
  <c r="CZ8" i="5"/>
  <c r="E6" i="1"/>
  <c r="X6" i="8"/>
  <c r="DA6" i="8" s="1"/>
  <c r="C7" i="5"/>
  <c r="F7" i="5" s="1"/>
  <c r="AC7" i="1"/>
  <c r="DI8" i="5"/>
  <c r="AB8" i="1"/>
  <c r="AF17" i="9"/>
  <c r="AJ17" i="9"/>
  <c r="AD17" i="9"/>
  <c r="B8" i="5"/>
  <c r="S10" i="2"/>
  <c r="P11" i="2"/>
  <c r="N11" i="2"/>
  <c r="R11" i="2"/>
  <c r="Q10" i="2"/>
  <c r="D10" i="12"/>
  <c r="F9" i="12"/>
  <c r="E9" i="12" s="1"/>
  <c r="J12" i="10"/>
  <c r="N12" i="5" s="1"/>
  <c r="M11" i="2"/>
  <c r="I13" i="12"/>
  <c r="J12" i="12"/>
  <c r="BJ6" i="8" l="1"/>
  <c r="BL6" i="8"/>
  <c r="BP6" i="8"/>
  <c r="BN6" i="8"/>
  <c r="AW7" i="5"/>
  <c r="AB6" i="2"/>
  <c r="AE18" i="9"/>
  <c r="BF10" i="5" a="1"/>
  <c r="BF10" i="5" s="1"/>
  <c r="AE9" i="1" s="1"/>
  <c r="J9" i="2"/>
  <c r="G12" i="8"/>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P4" i="8"/>
  <c r="DC4" i="8" s="1"/>
  <c r="G4" i="1" s="1"/>
  <c r="N4" i="8" s="1"/>
  <c r="P5" i="8"/>
  <c r="F13" i="8"/>
  <c r="CN5" i="8"/>
  <c r="CR5" i="8" s="1"/>
  <c r="AO6" i="5"/>
  <c r="AV7" i="5"/>
  <c r="BP10" i="5" a="1"/>
  <c r="BP10" i="5" s="1"/>
  <c r="O15" i="1"/>
  <c r="D7" i="9"/>
  <c r="BS6" i="8"/>
  <c r="BO6" i="8"/>
  <c r="BM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A7" i="10"/>
  <c r="AA7" i="10" s="1"/>
  <c r="C8" i="5"/>
  <c r="F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BJ7" i="8" l="1"/>
  <c r="BL7" i="8"/>
  <c r="J10" i="2"/>
  <c r="BP7" i="8"/>
  <c r="BN7" i="8"/>
  <c r="BF11" i="5" a="1"/>
  <c r="BF11" i="5" s="1"/>
  <c r="AE10" i="1" s="1"/>
  <c r="AW8" i="5"/>
  <c r="AB7" i="2"/>
  <c r="AE19" i="9"/>
  <c r="G13" i="8"/>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J11" i="2" s="1"/>
  <c r="AG6" i="7"/>
  <c r="AI6" i="7" s="1"/>
  <c r="O16" i="1"/>
  <c r="BS7" i="8"/>
  <c r="BO7" i="8"/>
  <c r="BM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T8" i="5"/>
  <c r="C9" i="5"/>
  <c r="F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BJ8" i="8" l="1"/>
  <c r="BL8" i="8"/>
  <c r="BP8" i="8"/>
  <c r="BN8" i="8"/>
  <c r="BF12" i="5" a="1"/>
  <c r="BF12" i="5" s="1"/>
  <c r="AE11" i="1" s="1"/>
  <c r="AW9" i="5"/>
  <c r="AB8" i="2"/>
  <c r="AE20" i="9"/>
  <c r="G14" i="8"/>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S8" i="8"/>
  <c r="BO8" i="8"/>
  <c r="BM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X9" i="8"/>
  <c r="DA9" i="8" s="1"/>
  <c r="B9" i="7"/>
  <c r="AJ9" i="5"/>
  <c r="AP9" i="5" s="1"/>
  <c r="AI9" i="5"/>
  <c r="B9" i="9"/>
  <c r="X9" i="9" s="1"/>
  <c r="AC9" i="8"/>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BJ9" i="8" l="1"/>
  <c r="BL9" i="8"/>
  <c r="BP9" i="8"/>
  <c r="BN9" i="8"/>
  <c r="AE21" i="9"/>
  <c r="AW10" i="5"/>
  <c r="AB9" i="2"/>
  <c r="G15" i="8"/>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J13" i="2" s="1"/>
  <c r="X10" i="8"/>
  <c r="DA10" i="8" s="1"/>
  <c r="AG8" i="7"/>
  <c r="AI8" i="7" s="1"/>
  <c r="O18" i="1"/>
  <c r="BS9" i="8"/>
  <c r="BO9" i="8"/>
  <c r="BM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H10" i="8"/>
  <c r="B10" i="9"/>
  <c r="X10" i="9" s="1"/>
  <c r="AJ10" i="5"/>
  <c r="AP10" i="5" s="1"/>
  <c r="BG10" i="8"/>
  <c r="BT10" i="8" s="1"/>
  <c r="AI10" i="5"/>
  <c r="BV10" i="8"/>
  <c r="CA10" i="8" s="1"/>
  <c r="CQ10" i="8" s="1"/>
  <c r="F11" i="5"/>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BJ10" i="8" l="1"/>
  <c r="BL10" i="8"/>
  <c r="BN10" i="8"/>
  <c r="BP10" i="8"/>
  <c r="AW11" i="5"/>
  <c r="AB10" i="2"/>
  <c r="AE22" i="9"/>
  <c r="G16" i="8"/>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J14" i="2" s="1"/>
  <c r="DE11" i="8"/>
  <c r="DF11" i="8" s="1"/>
  <c r="AG9" i="7"/>
  <c r="AI9" i="7" s="1"/>
  <c r="O19" i="1"/>
  <c r="BS10" i="8"/>
  <c r="BO10" i="8"/>
  <c r="BM10" i="8"/>
  <c r="AN10" i="5"/>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11" i="7"/>
  <c r="AE11" i="7" s="1"/>
  <c r="AF11" i="7" s="1"/>
  <c r="BH11" i="8"/>
  <c r="X11" i="8"/>
  <c r="DA11" i="8" s="1"/>
  <c r="A11" i="10"/>
  <c r="AA11" i="10" s="1"/>
  <c r="CJ11" i="8"/>
  <c r="A11" i="11"/>
  <c r="N11" i="11" s="1"/>
  <c r="BT11" i="5"/>
  <c r="AI11" i="5"/>
  <c r="BG11" i="8"/>
  <c r="BT11" i="8" s="1"/>
  <c r="BV11" i="8"/>
  <c r="BX11" i="8" s="1"/>
  <c r="AJ11" i="5"/>
  <c r="AP11" i="5" s="1"/>
  <c r="E11" i="1"/>
  <c r="F12" i="5"/>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BJ11" i="8" l="1"/>
  <c r="BL11" i="8"/>
  <c r="BN11" i="8"/>
  <c r="BP11" i="8"/>
  <c r="AE23" i="9"/>
  <c r="AW12" i="5"/>
  <c r="AB11" i="2"/>
  <c r="G17" i="8"/>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J15" i="2" s="1"/>
  <c r="DE12" i="8"/>
  <c r="DF12" i="8" s="1"/>
  <c r="AG10" i="7"/>
  <c r="AI10" i="7" s="1"/>
  <c r="AG11" i="7"/>
  <c r="AI11" i="7" s="1"/>
  <c r="O20" i="1"/>
  <c r="BS11" i="8"/>
  <c r="BO11" i="8"/>
  <c r="BM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C8" i="8"/>
  <c r="G8" i="1" s="1"/>
  <c r="N8" i="8" s="1"/>
  <c r="CP9" i="8"/>
  <c r="DC9" i="8" s="1"/>
  <c r="G9" i="1" s="1"/>
  <c r="N9" i="8" s="1"/>
  <c r="CF17" i="8"/>
  <c r="AG23" i="9"/>
  <c r="CZ14" i="5"/>
  <c r="AC13" i="1"/>
  <c r="DA13" i="5"/>
  <c r="DG13" i="5" s="1" a="1"/>
  <c r="DG13" i="5" s="1"/>
  <c r="AB14" i="1"/>
  <c r="DI14" i="5"/>
  <c r="AF23" i="9"/>
  <c r="AJ23" i="9"/>
  <c r="AD85" i="9"/>
  <c r="B7" i="14"/>
  <c r="S16" i="2"/>
  <c r="P17" i="2"/>
  <c r="N17" i="2"/>
  <c r="R17" i="2"/>
  <c r="Q16" i="2"/>
  <c r="M17" i="2"/>
  <c r="F15" i="12"/>
  <c r="E15" i="12" s="1"/>
  <c r="D16" i="12"/>
  <c r="J18" i="10"/>
  <c r="N18" i="5" s="1"/>
  <c r="BJ12" i="8" l="1"/>
  <c r="BL12" i="8"/>
  <c r="BN12" i="8"/>
  <c r="BP12" i="8"/>
  <c r="AW13" i="5"/>
  <c r="AB12" i="2"/>
  <c r="AE24" i="9"/>
  <c r="G18" i="8"/>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J16" i="2" s="1"/>
  <c r="B13" i="9"/>
  <c r="X13" i="9" s="1"/>
  <c r="O21" i="1"/>
  <c r="BW12" i="8"/>
  <c r="CC12" i="8" s="1"/>
  <c r="BS12" i="8"/>
  <c r="BO12" i="8"/>
  <c r="BM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BJ13" i="8" l="1"/>
  <c r="BL13" i="8"/>
  <c r="BN13" i="8"/>
  <c r="BP13" i="8"/>
  <c r="AW14" i="5"/>
  <c r="AB13" i="2"/>
  <c r="AE25" i="9"/>
  <c r="G19" i="8"/>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J17" i="2" s="1"/>
  <c r="AG12" i="7"/>
  <c r="AI12" i="7" s="1"/>
  <c r="O22" i="1"/>
  <c r="CD12" i="8"/>
  <c r="CU12" i="8" s="1"/>
  <c r="CV12" i="8" s="1"/>
  <c r="BS13" i="8"/>
  <c r="BO13" i="8"/>
  <c r="BM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E14" i="1"/>
  <c r="A14" i="10"/>
  <c r="AA14" i="10" s="1"/>
  <c r="BT14" i="5"/>
  <c r="A14" i="11"/>
  <c r="B14" i="7"/>
  <c r="X14" i="8"/>
  <c r="DA14" i="8" s="1"/>
  <c r="CZ16" i="5"/>
  <c r="AC15" i="1"/>
  <c r="DA15" i="5"/>
  <c r="DG15" i="5" s="1" a="1"/>
  <c r="DG15" i="5" s="1"/>
  <c r="DI16" i="5"/>
  <c r="AB16" i="1"/>
  <c r="AF25" i="9"/>
  <c r="AJ25" i="9"/>
  <c r="AD87" i="9"/>
  <c r="B9" i="14"/>
  <c r="S18" i="2"/>
  <c r="P19" i="2"/>
  <c r="N19" i="2"/>
  <c r="R19" i="2"/>
  <c r="Q18" i="2"/>
  <c r="M19" i="2"/>
  <c r="J20" i="10"/>
  <c r="N20" i="5" s="1"/>
  <c r="BJ14" i="8" l="1"/>
  <c r="BL14" i="8"/>
  <c r="BN14" i="8"/>
  <c r="BP14" i="8"/>
  <c r="AW15" i="5"/>
  <c r="AB14" i="2"/>
  <c r="AE26" i="9"/>
  <c r="G20" i="8"/>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J18" i="2" s="1"/>
  <c r="BG15" i="8"/>
  <c r="BT15" i="8" s="1"/>
  <c r="AG13" i="7"/>
  <c r="AI13" i="7" s="1"/>
  <c r="O23" i="1"/>
  <c r="BS14" i="8"/>
  <c r="BT14" i="8"/>
  <c r="BO14" i="8"/>
  <c r="BM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DI17" i="5"/>
  <c r="AB17" i="1"/>
  <c r="AC16" i="1"/>
  <c r="DA16" i="5"/>
  <c r="DG16" i="5" s="1" a="1"/>
  <c r="DG16" i="5" s="1"/>
  <c r="AF26" i="9"/>
  <c r="AJ26" i="9"/>
  <c r="AD88" i="9"/>
  <c r="B10" i="14"/>
  <c r="S19" i="2"/>
  <c r="P20" i="2"/>
  <c r="N20" i="2"/>
  <c r="R20" i="2"/>
  <c r="Q19" i="2"/>
  <c r="M20" i="2"/>
  <c r="J21" i="10"/>
  <c r="N21" i="5" s="1"/>
  <c r="BJ15" i="8" l="1"/>
  <c r="BL15" i="8"/>
  <c r="BP15" i="8"/>
  <c r="BN15" i="8"/>
  <c r="AW16" i="5"/>
  <c r="AB15" i="2"/>
  <c r="AE27" i="9"/>
  <c r="G21" i="8"/>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J19" i="2" s="1"/>
  <c r="AG14" i="7"/>
  <c r="AI14" i="7" s="1"/>
  <c r="O24" i="1"/>
  <c r="BO15" i="8"/>
  <c r="BM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T16" i="5"/>
  <c r="A16" i="10"/>
  <c r="AA16" i="10" s="1"/>
  <c r="B16" i="7"/>
  <c r="E16" i="1"/>
  <c r="C17" i="5"/>
  <c r="F17" i="5" s="1"/>
  <c r="CZ18" i="5"/>
  <c r="C18" i="5"/>
  <c r="AC17" i="1"/>
  <c r="DA17" i="5"/>
  <c r="DG17" i="5" s="1" a="1"/>
  <c r="DG17" i="5" s="1"/>
  <c r="AB18" i="1"/>
  <c r="DI18" i="5"/>
  <c r="AF27" i="9"/>
  <c r="AJ27" i="9"/>
  <c r="AD89" i="9"/>
  <c r="B11" i="14"/>
  <c r="S20" i="2"/>
  <c r="P21" i="2"/>
  <c r="N21" i="2"/>
  <c r="R21" i="2"/>
  <c r="Q20" i="2"/>
  <c r="J22" i="10"/>
  <c r="N22" i="5" s="1"/>
  <c r="M21" i="2"/>
  <c r="BJ16" i="8" l="1"/>
  <c r="BL16" i="8"/>
  <c r="BP16" i="8"/>
  <c r="BN16" i="8"/>
  <c r="AW17" i="5"/>
  <c r="AB16" i="2"/>
  <c r="AE28" i="9"/>
  <c r="G22" i="8"/>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J20" i="2" s="1"/>
  <c r="AG15" i="7"/>
  <c r="AI15" i="7" s="1"/>
  <c r="O25" i="1"/>
  <c r="BS16" i="8"/>
  <c r="BO16" i="8"/>
  <c r="BM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BJ17" i="8" l="1"/>
  <c r="BL17" i="8"/>
  <c r="BP17" i="8"/>
  <c r="BN17" i="8"/>
  <c r="AE29" i="9"/>
  <c r="AW18" i="5"/>
  <c r="AB17" i="2"/>
  <c r="G23" i="8"/>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J21" i="2" s="1"/>
  <c r="AI18" i="5"/>
  <c r="AN18" i="5" s="1"/>
  <c r="AG16" i="7"/>
  <c r="AI16" i="7" s="1"/>
  <c r="O26" i="1"/>
  <c r="BS17" i="8"/>
  <c r="BO17" i="8"/>
  <c r="BM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B20" i="1"/>
  <c r="DI20" i="5"/>
  <c r="AC19" i="1"/>
  <c r="DA19" i="5"/>
  <c r="DG19" i="5" s="1" a="1"/>
  <c r="DG19" i="5" s="1"/>
  <c r="AF29" i="9"/>
  <c r="AJ29" i="9"/>
  <c r="AD91" i="9"/>
  <c r="B16" i="14"/>
  <c r="N5" i="1"/>
  <c r="S22" i="2"/>
  <c r="N23" i="2"/>
  <c r="R23" i="2"/>
  <c r="Q22" i="2"/>
  <c r="M23" i="2"/>
  <c r="P24" i="2"/>
  <c r="J24" i="10"/>
  <c r="N24" i="5" s="1"/>
  <c r="BJ18" i="8" l="1"/>
  <c r="BL18" i="8"/>
  <c r="BP18" i="8"/>
  <c r="BN18" i="8"/>
  <c r="AW19" i="5"/>
  <c r="AB18" i="2"/>
  <c r="AE30" i="9"/>
  <c r="G24" i="8"/>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J22" i="2" s="1"/>
  <c r="AG17" i="7"/>
  <c r="AI17" i="7" s="1"/>
  <c r="O27" i="1"/>
  <c r="BS18" i="8"/>
  <c r="BO18" i="8"/>
  <c r="BM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E19" i="1"/>
  <c r="AI19" i="5"/>
  <c r="X19" i="8"/>
  <c r="DA19" i="8" s="1"/>
  <c r="B19" i="9"/>
  <c r="X19" i="9" s="1"/>
  <c r="A19" i="11"/>
  <c r="AC19" i="8"/>
  <c r="BT19" i="5"/>
  <c r="AJ19" i="5"/>
  <c r="AP19" i="5" s="1"/>
  <c r="A19" i="10"/>
  <c r="AA19" i="10" s="1"/>
  <c r="B19" i="7"/>
  <c r="C20" i="5"/>
  <c r="F20" i="5" s="1"/>
  <c r="AQ17" i="5"/>
  <c r="CZ21" i="5"/>
  <c r="CO17" i="8"/>
  <c r="AR17" i="5"/>
  <c r="C21" i="5"/>
  <c r="AC20" i="1"/>
  <c r="DA20" i="5"/>
  <c r="DG20" i="5" s="1" a="1"/>
  <c r="DG20" i="5" s="1"/>
  <c r="AB21" i="1"/>
  <c r="DI21" i="5"/>
  <c r="AF30" i="9"/>
  <c r="AJ30" i="9"/>
  <c r="AD92" i="9"/>
  <c r="N6" i="1"/>
  <c r="S23" i="2"/>
  <c r="N24" i="2"/>
  <c r="R24" i="2"/>
  <c r="Q23" i="2"/>
  <c r="J25" i="10"/>
  <c r="N25" i="5" s="1"/>
  <c r="P25" i="2"/>
  <c r="M24" i="2"/>
  <c r="BJ19" i="8" l="1"/>
  <c r="BL19" i="8"/>
  <c r="BP19" i="8"/>
  <c r="BN19" i="8"/>
  <c r="AW20" i="5"/>
  <c r="AB19" i="2"/>
  <c r="AE31" i="9"/>
  <c r="G25" i="8"/>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J23" i="2" s="1"/>
  <c r="AG18" i="7"/>
  <c r="AI18" i="7" s="1"/>
  <c r="O28" i="1"/>
  <c r="X18" i="10"/>
  <c r="BS19" i="8"/>
  <c r="BT19" i="8"/>
  <c r="BO19" i="8"/>
  <c r="BM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A20" i="10"/>
  <c r="AA20" i="10" s="1"/>
  <c r="B20" i="7"/>
  <c r="E20" i="1"/>
  <c r="CZ22" i="5"/>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AC21" i="1"/>
  <c r="DA21" i="5"/>
  <c r="DG21" i="5" s="1" a="1"/>
  <c r="DG21" i="5" s="1"/>
  <c r="AF31" i="9"/>
  <c r="AJ31" i="9"/>
  <c r="AD93" i="9"/>
  <c r="B17" i="14"/>
  <c r="N7" i="1"/>
  <c r="S24" i="2"/>
  <c r="N25" i="2"/>
  <c r="R25" i="2"/>
  <c r="Q24" i="2"/>
  <c r="P26" i="2"/>
  <c r="M25" i="2"/>
  <c r="J26" i="10"/>
  <c r="N26" i="5" s="1"/>
  <c r="BJ20" i="8" l="1"/>
  <c r="BL20" i="8"/>
  <c r="BP20" i="8"/>
  <c r="BN20" i="8"/>
  <c r="AW21" i="5"/>
  <c r="AB20" i="2"/>
  <c r="AE32" i="9"/>
  <c r="G26" i="8"/>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J24" i="2" s="1"/>
  <c r="DE21" i="8"/>
  <c r="DF21" i="8" s="1"/>
  <c r="AG19" i="7"/>
  <c r="AI19" i="7" s="1"/>
  <c r="O29" i="1"/>
  <c r="BS20" i="8"/>
  <c r="BO20" i="8"/>
  <c r="BM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BJ21" i="8" l="1"/>
  <c r="BL21" i="8"/>
  <c r="BP21" i="8"/>
  <c r="BN21" i="8"/>
  <c r="AW22" i="5"/>
  <c r="AB21" i="2"/>
  <c r="AE33" i="9"/>
  <c r="G27" i="8"/>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J25" i="2" s="1"/>
  <c r="AG21" i="7"/>
  <c r="AI21" i="7" s="1"/>
  <c r="AG20" i="7"/>
  <c r="AI20" i="7" s="1"/>
  <c r="O30" i="1"/>
  <c r="BS21" i="8"/>
  <c r="BO21" i="8"/>
  <c r="BM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CO20" i="8"/>
  <c r="AJ22" i="5"/>
  <c r="AP22" i="5" s="1"/>
  <c r="X22" i="8"/>
  <c r="DA22" i="8" s="1"/>
  <c r="E22" i="1"/>
  <c r="B22" i="9"/>
  <c r="X22" i="9" s="1"/>
  <c r="AI22" i="5"/>
  <c r="A22" i="11"/>
  <c r="AC22" i="8"/>
  <c r="BT22" i="5"/>
  <c r="A22" i="10"/>
  <c r="AA22" i="10" s="1"/>
  <c r="B22" i="7"/>
  <c r="CZ24" i="5"/>
  <c r="AB24" i="1"/>
  <c r="DI24" i="5"/>
  <c r="AC23" i="1"/>
  <c r="DA23" i="5"/>
  <c r="DG23" i="5" s="1" a="1"/>
  <c r="DG23" i="5" s="1"/>
  <c r="AF33" i="9"/>
  <c r="AJ33" i="9"/>
  <c r="AD95" i="9"/>
  <c r="B19" i="14"/>
  <c r="N9" i="1"/>
  <c r="S26" i="2"/>
  <c r="N27" i="2"/>
  <c r="R27" i="2"/>
  <c r="Q26" i="2"/>
  <c r="M27" i="2"/>
  <c r="J28" i="10"/>
  <c r="N28" i="5" s="1"/>
  <c r="P28" i="2"/>
  <c r="BJ22" i="8" l="1"/>
  <c r="BL22" i="8"/>
  <c r="BP22" i="8"/>
  <c r="BN22" i="8"/>
  <c r="AW23" i="5"/>
  <c r="AB22" i="2"/>
  <c r="AE34" i="9"/>
  <c r="G28" i="8"/>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J26" i="2" s="1"/>
  <c r="DE23" i="8"/>
  <c r="DF23" i="8" s="1"/>
  <c r="O31" i="1"/>
  <c r="BS22" i="8"/>
  <c r="BO22" i="8"/>
  <c r="BM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C24" i="5"/>
  <c r="F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BJ23" i="8" l="1"/>
  <c r="BL23" i="8"/>
  <c r="BP23" i="8"/>
  <c r="BN23" i="8"/>
  <c r="AW24" i="5"/>
  <c r="AB23" i="2"/>
  <c r="AE35" i="9"/>
  <c r="G29" i="8"/>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J27" i="2" s="1"/>
  <c r="AG22" i="7"/>
  <c r="AI22" i="7" s="1"/>
  <c r="AG23" i="7"/>
  <c r="AI23" i="7" s="1"/>
  <c r="O32" i="1"/>
  <c r="BS23" i="8"/>
  <c r="AN23" i="5"/>
  <c r="BO23" i="8"/>
  <c r="BM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T24" i="5"/>
  <c r="A24" i="10"/>
  <c r="AA24" i="10" s="1"/>
  <c r="B24" i="7"/>
  <c r="B24" i="9"/>
  <c r="X24" i="9" s="1"/>
  <c r="AJ24" i="5"/>
  <c r="AP24" i="5" s="1"/>
  <c r="X24" i="8"/>
  <c r="DA24" i="8" s="1"/>
  <c r="CZ26" i="5"/>
  <c r="AQ22" i="5"/>
  <c r="CO22" i="8"/>
  <c r="AB26" i="1"/>
  <c r="DI26" i="5"/>
  <c r="AC25" i="1"/>
  <c r="DA25" i="5"/>
  <c r="DG25" i="5" s="1" a="1"/>
  <c r="DG25" i="5" s="1"/>
  <c r="AF35" i="9"/>
  <c r="AJ35" i="9"/>
  <c r="AD97" i="9"/>
  <c r="B21" i="14"/>
  <c r="N11" i="1"/>
  <c r="S28" i="2"/>
  <c r="N29" i="2"/>
  <c r="R29" i="2"/>
  <c r="Q28" i="2"/>
  <c r="J30" i="10"/>
  <c r="N30" i="5" s="1"/>
  <c r="M29" i="2"/>
  <c r="P30" i="2"/>
  <c r="BJ24" i="8" l="1"/>
  <c r="BL24" i="8"/>
  <c r="BP24" i="8"/>
  <c r="BN24" i="8"/>
  <c r="AW25" i="5"/>
  <c r="AB24" i="2"/>
  <c r="AE36" i="9"/>
  <c r="G30" i="8"/>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J28" i="2" s="1"/>
  <c r="BH25" i="8"/>
  <c r="AT28" i="5"/>
  <c r="O33" i="1"/>
  <c r="BS24" i="8"/>
  <c r="BT24" i="8"/>
  <c r="BO24" i="8"/>
  <c r="BM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AE24" i="7"/>
  <c r="AF24" i="7" s="1"/>
  <c r="Q24" i="7"/>
  <c r="C26" i="5"/>
  <c r="F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BJ25" i="8" l="1"/>
  <c r="BL25" i="8"/>
  <c r="BP25" i="8"/>
  <c r="BN25" i="8"/>
  <c r="AW26" i="5"/>
  <c r="AB25" i="2"/>
  <c r="AE37" i="9"/>
  <c r="G31" i="8"/>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J29" i="2" s="1"/>
  <c r="AG24" i="7"/>
  <c r="AI24" i="7" s="1"/>
  <c r="O34" i="1"/>
  <c r="BS25" i="8"/>
  <c r="BO25" i="8"/>
  <c r="BM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CZ28" i="5"/>
  <c r="CO24" i="8"/>
  <c r="AQ24" i="5"/>
  <c r="AJ26" i="5"/>
  <c r="AP26" i="5" s="1"/>
  <c r="AC26" i="8"/>
  <c r="BT26" i="5"/>
  <c r="A26" i="10"/>
  <c r="AA26" i="10" s="1"/>
  <c r="B26" i="7"/>
  <c r="X26" i="8"/>
  <c r="DA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BJ26" i="8" l="1"/>
  <c r="BL26" i="8"/>
  <c r="BN26" i="8"/>
  <c r="BP26" i="8"/>
  <c r="AW27" i="5"/>
  <c r="AB26" i="2"/>
  <c r="AE38" i="9"/>
  <c r="G32" i="8"/>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J30" i="2" s="1"/>
  <c r="AG25" i="7"/>
  <c r="AI25" i="7" s="1"/>
  <c r="O35" i="1"/>
  <c r="BS26" i="8"/>
  <c r="BT26" i="8"/>
  <c r="BO26" i="8"/>
  <c r="BM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CZ29" i="5"/>
  <c r="C28" i="5"/>
  <c r="F28" i="5" s="1"/>
  <c r="CG26" i="8"/>
  <c r="CW26" i="8" s="1"/>
  <c r="BZ26" i="8"/>
  <c r="BX26" i="8"/>
  <c r="BY26" i="8"/>
  <c r="CB26" i="8"/>
  <c r="CS26" i="8" s="1"/>
  <c r="CT26" i="8" s="1"/>
  <c r="CA26" i="8"/>
  <c r="CQ26" i="8" s="1"/>
  <c r="A27" i="11"/>
  <c r="B27" i="9"/>
  <c r="X27" i="9" s="1"/>
  <c r="B27" i="7"/>
  <c r="AJ27" i="5"/>
  <c r="AP27" i="5" s="1"/>
  <c r="AC27" i="8"/>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BJ27" i="8" l="1"/>
  <c r="BL27" i="8"/>
  <c r="BN27" i="8"/>
  <c r="BP27" i="8"/>
  <c r="AW28" i="5"/>
  <c r="AB27" i="2"/>
  <c r="AE39" i="9"/>
  <c r="G33" i="8"/>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J31" i="2" s="1"/>
  <c r="E28" i="1"/>
  <c r="AG26" i="7"/>
  <c r="AI26" i="7" s="1"/>
  <c r="O36" i="1"/>
  <c r="BW27" i="8"/>
  <c r="CC27" i="8" s="1"/>
  <c r="BS27" i="8"/>
  <c r="BO27" i="8"/>
  <c r="BM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BJ28" i="8" l="1"/>
  <c r="BL28" i="8"/>
  <c r="BN28" i="8"/>
  <c r="BP28" i="8"/>
  <c r="AW29" i="5"/>
  <c r="AB28" i="2"/>
  <c r="AE40" i="9"/>
  <c r="G34" i="8"/>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J32" i="2" s="1"/>
  <c r="DE29" i="8"/>
  <c r="DF29" i="8" s="1"/>
  <c r="AG27" i="7"/>
  <c r="AI27" i="7" s="1"/>
  <c r="O37" i="1"/>
  <c r="CD27" i="8"/>
  <c r="CU27" i="8" s="1"/>
  <c r="CV27" i="8" s="1"/>
  <c r="BW28" i="8"/>
  <c r="CC28" i="8" s="1"/>
  <c r="BS28" i="8"/>
  <c r="BO28" i="8"/>
  <c r="BM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CJ29" i="8"/>
  <c r="A29" i="11"/>
  <c r="N29" i="11" s="1"/>
  <c r="AJ29" i="5"/>
  <c r="AP29" i="5" s="1"/>
  <c r="BH29" i="8"/>
  <c r="AI29" i="5"/>
  <c r="BG29" i="8"/>
  <c r="BT29" i="8" s="1"/>
  <c r="X29" i="8"/>
  <c r="DA29" i="8" s="1"/>
  <c r="B29" i="7"/>
  <c r="AE29" i="7" s="1"/>
  <c r="AF29" i="7" s="1"/>
  <c r="F30" i="5"/>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BJ29" i="8" l="1"/>
  <c r="BL29" i="8"/>
  <c r="BN29" i="8"/>
  <c r="BP29" i="8"/>
  <c r="AE41" i="9"/>
  <c r="AW30" i="5"/>
  <c r="AB29" i="2"/>
  <c r="G35" i="8"/>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J33" i="2" s="1"/>
  <c r="DE30" i="8"/>
  <c r="DF30" i="8" s="1"/>
  <c r="AG28" i="7"/>
  <c r="AI28" i="7" s="1"/>
  <c r="AG29" i="7"/>
  <c r="AI29" i="7" s="1"/>
  <c r="O38" i="1"/>
  <c r="CD28" i="8"/>
  <c r="CU28" i="8" s="1"/>
  <c r="CV28" i="8" s="1"/>
  <c r="BS29" i="8"/>
  <c r="BO29" i="8"/>
  <c r="BM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AI30" i="5"/>
  <c r="BH30" i="8"/>
  <c r="E30" i="1"/>
  <c r="B32" i="5"/>
  <c r="BV30" i="8"/>
  <c r="CG30" i="8" s="1"/>
  <c r="CW30" i="8" s="1"/>
  <c r="F31" i="5"/>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AR28" i="5"/>
  <c r="AQ28" i="5"/>
  <c r="CZ32" i="5"/>
  <c r="C32" i="5"/>
  <c r="AC31" i="1"/>
  <c r="DA31" i="5"/>
  <c r="DG31" i="5" s="1" a="1"/>
  <c r="DG31" i="5" s="1"/>
  <c r="AB32" i="1"/>
  <c r="DI32" i="5"/>
  <c r="AF41" i="9"/>
  <c r="AJ41" i="9"/>
  <c r="AD103" i="9"/>
  <c r="B29" i="14"/>
  <c r="N17" i="1"/>
  <c r="S34" i="2"/>
  <c r="N35" i="2"/>
  <c r="R35" i="2"/>
  <c r="Q34" i="2"/>
  <c r="P36" i="2"/>
  <c r="J36" i="10"/>
  <c r="N36" i="5" s="1"/>
  <c r="M35" i="2"/>
  <c r="BJ30" i="8" l="1"/>
  <c r="BL30" i="8"/>
  <c r="BN30" i="8"/>
  <c r="BP30" i="8"/>
  <c r="AW31" i="5"/>
  <c r="AB30" i="2"/>
  <c r="AE42" i="9"/>
  <c r="G36" i="8"/>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J34" i="2" s="1"/>
  <c r="A31" i="10"/>
  <c r="AA31" i="10" s="1"/>
  <c r="O39" i="1"/>
  <c r="BS30" i="8"/>
  <c r="BO30" i="8"/>
  <c r="BM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B31" i="9"/>
  <c r="X31" i="9" s="1"/>
  <c r="A31" i="11"/>
  <c r="AC30" i="11" s="1"/>
  <c r="U30" i="8" s="1"/>
  <c r="CA30" i="8"/>
  <c r="CQ30" i="8" s="1"/>
  <c r="AI31" i="5"/>
  <c r="AJ31" i="5"/>
  <c r="AP31" i="5" s="1"/>
  <c r="BT31" i="5"/>
  <c r="AC31" i="8"/>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CZ33" i="5"/>
  <c r="AB33" i="1"/>
  <c r="DI33" i="5"/>
  <c r="AC32" i="1"/>
  <c r="DA32" i="5"/>
  <c r="DG32" i="5" s="1" a="1"/>
  <c r="DG32" i="5" s="1"/>
  <c r="AF42" i="9"/>
  <c r="AJ42" i="9"/>
  <c r="AD104" i="9"/>
  <c r="N18" i="1"/>
  <c r="S35" i="2"/>
  <c r="N36" i="2"/>
  <c r="R36" i="2"/>
  <c r="Q35" i="2"/>
  <c r="M36" i="2"/>
  <c r="J37" i="10"/>
  <c r="N37" i="5" s="1"/>
  <c r="P37" i="2"/>
  <c r="BJ31" i="8" l="1"/>
  <c r="BL31" i="8"/>
  <c r="BP31" i="8"/>
  <c r="BN31" i="8"/>
  <c r="AW32" i="5"/>
  <c r="AB31" i="2"/>
  <c r="AE43" i="9"/>
  <c r="G37" i="8"/>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J35" i="2" s="1"/>
  <c r="BG32" i="8"/>
  <c r="BT32" i="8" s="1"/>
  <c r="AG30" i="7"/>
  <c r="AI30" i="7" s="1"/>
  <c r="AG31" i="7"/>
  <c r="AI31" i="7" s="1"/>
  <c r="O40" i="1"/>
  <c r="BW31" i="8"/>
  <c r="CC31" i="8" s="1"/>
  <c r="BS31" i="8"/>
  <c r="BO31" i="8"/>
  <c r="BM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CZ34" i="5"/>
  <c r="AC33" i="1"/>
  <c r="DA33" i="5"/>
  <c r="DG33" i="5" s="1" a="1"/>
  <c r="DG33" i="5" s="1"/>
  <c r="AB34" i="1"/>
  <c r="DI34" i="5"/>
  <c r="AF43" i="9"/>
  <c r="AJ43" i="9"/>
  <c r="AD105" i="9"/>
  <c r="B31" i="14"/>
  <c r="N19" i="1"/>
  <c r="S36" i="2"/>
  <c r="N37" i="2"/>
  <c r="R37" i="2"/>
  <c r="Q36" i="2"/>
  <c r="J38" i="10"/>
  <c r="N38" i="5" s="1"/>
  <c r="P38" i="2"/>
  <c r="M37" i="2"/>
  <c r="BJ32" i="8" l="1"/>
  <c r="BL32" i="8"/>
  <c r="BP32" i="8"/>
  <c r="BN32" i="8"/>
  <c r="AW33" i="5"/>
  <c r="AB32" i="2"/>
  <c r="AE44" i="9"/>
  <c r="G38" i="8"/>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J36" i="2" s="1"/>
  <c r="BS32" i="8"/>
  <c r="BW32" i="8"/>
  <c r="CC32" i="8" s="1"/>
  <c r="D33" i="9"/>
  <c r="AG32" i="7"/>
  <c r="AI32" i="7" s="1"/>
  <c r="O41" i="1"/>
  <c r="CD31" i="8"/>
  <c r="CU31" i="8" s="1"/>
  <c r="CV31" i="8" s="1"/>
  <c r="BO32" i="8"/>
  <c r="BM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E33" i="1"/>
  <c r="BT33" i="5"/>
  <c r="A33" i="11"/>
  <c r="X33" i="8"/>
  <c r="DA33" i="8" s="1"/>
  <c r="AI33" i="5"/>
  <c r="CZ35" i="5"/>
  <c r="C34" i="5"/>
  <c r="F34" i="5" s="1"/>
  <c r="DI35" i="5"/>
  <c r="AB35" i="1"/>
  <c r="C35" i="5"/>
  <c r="AC34" i="1"/>
  <c r="DA34" i="5"/>
  <c r="DG34" i="5" s="1" a="1"/>
  <c r="DG34" i="5" s="1"/>
  <c r="AF44" i="9"/>
  <c r="AJ44" i="9"/>
  <c r="AD106" i="9"/>
  <c r="B32" i="14"/>
  <c r="N20" i="1"/>
  <c r="S37" i="2"/>
  <c r="N38" i="2"/>
  <c r="R38" i="2"/>
  <c r="Q37" i="2"/>
  <c r="P39" i="2"/>
  <c r="M38" i="2"/>
  <c r="J39" i="10"/>
  <c r="N39" i="5" s="1"/>
  <c r="BJ33" i="8" l="1"/>
  <c r="BL33" i="8"/>
  <c r="BP33" i="8"/>
  <c r="BN33" i="8"/>
  <c r="AW34" i="5"/>
  <c r="AB33" i="2"/>
  <c r="AE45" i="9"/>
  <c r="G39" i="8"/>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J37" i="2" s="1"/>
  <c r="O42" i="1"/>
  <c r="BS33" i="8"/>
  <c r="BO33" i="8"/>
  <c r="BM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T34" i="5"/>
  <c r="AC35" i="1"/>
  <c r="DA35" i="5"/>
  <c r="DG35" i="5" s="1" a="1"/>
  <c r="DG35" i="5" s="1"/>
  <c r="AB36" i="1"/>
  <c r="DI36" i="5"/>
  <c r="AF45" i="9"/>
  <c r="AJ45" i="9"/>
  <c r="AD107" i="9"/>
  <c r="N21" i="1"/>
  <c r="S38" i="2"/>
  <c r="N39" i="2"/>
  <c r="R39" i="2"/>
  <c r="Q38" i="2"/>
  <c r="J40" i="10"/>
  <c r="N40" i="5" s="1"/>
  <c r="P40" i="2"/>
  <c r="M39" i="2"/>
  <c r="BJ34" i="8" l="1"/>
  <c r="BL34" i="8"/>
  <c r="BP34" i="8"/>
  <c r="BN34" i="8"/>
  <c r="AW35" i="5"/>
  <c r="AB34" i="2"/>
  <c r="AE46" i="9"/>
  <c r="G40" i="8"/>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J38" i="2" s="1"/>
  <c r="DE35" i="8"/>
  <c r="DF35" i="8" s="1"/>
  <c r="AG33" i="7"/>
  <c r="AI33" i="7" s="1"/>
  <c r="O43" i="1"/>
  <c r="BW34" i="8"/>
  <c r="CC34" i="8" s="1"/>
  <c r="BS34" i="8"/>
  <c r="BO34" i="8"/>
  <c r="BM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CA34" i="8"/>
  <c r="CQ34" i="8" s="1"/>
  <c r="BX34" i="8"/>
  <c r="CG34" i="8"/>
  <c r="CW34" i="8" s="1"/>
  <c r="BY34" i="8"/>
  <c r="CB34" i="8"/>
  <c r="CS34" i="8" s="1"/>
  <c r="CT34" i="8" s="1"/>
  <c r="BZ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BJ35" i="8" l="1"/>
  <c r="BL35" i="8"/>
  <c r="BP35" i="8"/>
  <c r="BN35" i="8"/>
  <c r="AW36" i="5"/>
  <c r="AB35" i="2"/>
  <c r="AE47" i="9"/>
  <c r="G41" i="8"/>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J39" i="2" s="1"/>
  <c r="AG35" i="7"/>
  <c r="AI35" i="7" s="1"/>
  <c r="AG34" i="7"/>
  <c r="AI34" i="7" s="1"/>
  <c r="O44" i="1"/>
  <c r="CD34" i="8"/>
  <c r="CU34" i="8" s="1"/>
  <c r="CV34" i="8" s="1"/>
  <c r="BS35" i="8"/>
  <c r="BO35" i="8"/>
  <c r="BM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CZ38" i="5"/>
  <c r="AI36" i="5"/>
  <c r="BT36" i="5"/>
  <c r="AC36" i="8"/>
  <c r="A36" i="11"/>
  <c r="A36" i="10"/>
  <c r="AA36" i="10" s="1"/>
  <c r="B36" i="7"/>
  <c r="X36" i="8"/>
  <c r="DA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BJ36" i="8" l="1"/>
  <c r="BL36" i="8"/>
  <c r="BP36" i="8"/>
  <c r="BN36" i="8"/>
  <c r="AW37" i="5"/>
  <c r="AB36" i="2"/>
  <c r="AE48" i="9"/>
  <c r="G42" i="8"/>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J40" i="2" s="1"/>
  <c r="A37" i="11"/>
  <c r="AD36" i="11" s="1"/>
  <c r="AI36" i="1" s="1"/>
  <c r="O45" i="1"/>
  <c r="BW36" i="8"/>
  <c r="CC36" i="8" s="1"/>
  <c r="BS36" i="8"/>
  <c r="BO36" i="8"/>
  <c r="BM36" i="8"/>
  <c r="AN36" i="5"/>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BJ37" i="8" l="1"/>
  <c r="BL37" i="8"/>
  <c r="BP37" i="8"/>
  <c r="BN37" i="8"/>
  <c r="AW38" i="5"/>
  <c r="AB37" i="2"/>
  <c r="AE49" i="9"/>
  <c r="G43" i="8"/>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J41" i="2" s="1"/>
  <c r="AG36" i="7"/>
  <c r="AI36" i="7" s="1"/>
  <c r="AG37" i="7"/>
  <c r="AI37" i="7" s="1"/>
  <c r="O46" i="1"/>
  <c r="CD36" i="8"/>
  <c r="CU36" i="8" s="1"/>
  <c r="CV36" i="8" s="1"/>
  <c r="BS37" i="8"/>
  <c r="BO37" i="8"/>
  <c r="BM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BJ38" i="8" l="1"/>
  <c r="BL38" i="8"/>
  <c r="BP38" i="8"/>
  <c r="BN38" i="8"/>
  <c r="AW39" i="5"/>
  <c r="AB38" i="2"/>
  <c r="AE50" i="9"/>
  <c r="G44" i="8"/>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J42" i="2" s="1"/>
  <c r="BG39" i="8"/>
  <c r="BT39" i="8" s="1"/>
  <c r="O47" i="1"/>
  <c r="BS38" i="8"/>
  <c r="BT38" i="8"/>
  <c r="BO38" i="8"/>
  <c r="BM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CJ39" i="8"/>
  <c r="DE39" i="8"/>
  <c r="DF39" i="8" s="1"/>
  <c r="AJ39" i="5"/>
  <c r="AP39" i="5" s="1"/>
  <c r="A39" i="11"/>
  <c r="N39" i="11" s="1"/>
  <c r="X39" i="8"/>
  <c r="DA39" i="8" s="1"/>
  <c r="BH39" i="8"/>
  <c r="BV39" i="8"/>
  <c r="CG39" i="8" s="1"/>
  <c r="CW39" i="8" s="1"/>
  <c r="F40" i="5"/>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CZ41" i="5"/>
  <c r="AB41" i="1"/>
  <c r="DI41" i="5"/>
  <c r="AC40" i="1"/>
  <c r="DA40" i="5"/>
  <c r="DG40" i="5" s="1" a="1"/>
  <c r="DG40" i="5" s="1"/>
  <c r="AF50" i="9"/>
  <c r="AJ50" i="9"/>
  <c r="AD112" i="9"/>
  <c r="N26" i="1"/>
  <c r="S43" i="2"/>
  <c r="N44" i="2"/>
  <c r="R44" i="2"/>
  <c r="Q43" i="2"/>
  <c r="J45" i="10"/>
  <c r="N45" i="5" s="1"/>
  <c r="P45" i="2"/>
  <c r="M44" i="2"/>
  <c r="BJ39" i="8" l="1"/>
  <c r="BL39" i="8"/>
  <c r="BP39" i="8"/>
  <c r="BN39" i="8"/>
  <c r="AW40" i="5"/>
  <c r="AB39" i="2"/>
  <c r="AE51" i="9"/>
  <c r="G45" i="8"/>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J43" i="2" s="1"/>
  <c r="D40" i="9"/>
  <c r="BS39" i="8"/>
  <c r="BW39" i="8"/>
  <c r="CC39" i="8" s="1"/>
  <c r="BH40" i="8"/>
  <c r="AG38" i="7"/>
  <c r="AI38" i="7" s="1"/>
  <c r="O48" i="1"/>
  <c r="AN39" i="5"/>
  <c r="BO39" i="8"/>
  <c r="BM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C41" i="5"/>
  <c r="F41" i="5" s="1"/>
  <c r="B38" i="14"/>
  <c r="AC41" i="1"/>
  <c r="DA41" i="5"/>
  <c r="DG41" i="5" s="1" a="1"/>
  <c r="DG41" i="5" s="1"/>
  <c r="AB42" i="1"/>
  <c r="DI42" i="5"/>
  <c r="AF51" i="9"/>
  <c r="AJ51" i="9"/>
  <c r="AD113" i="9"/>
  <c r="N27" i="1"/>
  <c r="S44" i="2"/>
  <c r="N45" i="2"/>
  <c r="R45" i="2"/>
  <c r="Q44" i="2"/>
  <c r="P46" i="2"/>
  <c r="J46" i="10"/>
  <c r="N46" i="5" s="1"/>
  <c r="M45" i="2"/>
  <c r="BJ40" i="8" l="1"/>
  <c r="BL40" i="8"/>
  <c r="BP40" i="8"/>
  <c r="BN40" i="8"/>
  <c r="AW41" i="5"/>
  <c r="AB40" i="2"/>
  <c r="AE52" i="9"/>
  <c r="G46" i="8"/>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J44" i="2" s="1"/>
  <c r="CD39" i="8"/>
  <c r="CU39" i="8" s="1"/>
  <c r="CV39" i="8" s="1"/>
  <c r="AG39" i="7"/>
  <c r="AI39" i="7" s="1"/>
  <c r="O49" i="1"/>
  <c r="BS40" i="8"/>
  <c r="BO40" i="8"/>
  <c r="BM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CZ43" i="5"/>
  <c r="A41" i="11"/>
  <c r="BT41" i="5"/>
  <c r="AC41" i="8"/>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BJ41" i="8" l="1"/>
  <c r="BL41" i="8"/>
  <c r="BP41" i="8"/>
  <c r="BN41" i="8"/>
  <c r="AW42" i="5"/>
  <c r="AB41" i="2"/>
  <c r="AE53" i="9"/>
  <c r="G47" i="8"/>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J45" i="2" s="1"/>
  <c r="AG40" i="7"/>
  <c r="AI40" i="7" s="1"/>
  <c r="O50" i="1"/>
  <c r="BS41" i="8"/>
  <c r="BO41" i="8"/>
  <c r="BM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C43" i="5"/>
  <c r="F43" i="5" s="1"/>
  <c r="A42" i="11"/>
  <c r="AC42" i="8"/>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BJ42" i="8" l="1"/>
  <c r="BL42" i="8"/>
  <c r="BN42" i="8"/>
  <c r="BP42" i="8"/>
  <c r="AW43" i="5"/>
  <c r="AB42" i="2"/>
  <c r="AE54" i="9"/>
  <c r="G48" i="8"/>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J46" i="2" s="1"/>
  <c r="AG41" i="7"/>
  <c r="AI41" i="7" s="1"/>
  <c r="O51" i="1"/>
  <c r="BS42" i="8"/>
  <c r="BO42" i="8"/>
  <c r="BM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AC43" i="8"/>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BJ43" i="8" l="1"/>
  <c r="BL43" i="8"/>
  <c r="BN43" i="8"/>
  <c r="BP43" i="8"/>
  <c r="AE55" i="9"/>
  <c r="AW44" i="5"/>
  <c r="AB43" i="2"/>
  <c r="G49" i="8"/>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A44" i="8" s="1"/>
  <c r="AG42" i="7"/>
  <c r="AI42" i="7" s="1"/>
  <c r="O52" i="1"/>
  <c r="BS43" i="8"/>
  <c r="BO43" i="8"/>
  <c r="BM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CB43" i="8"/>
  <c r="CS43" i="8" s="1"/>
  <c r="CT43" i="8" s="1"/>
  <c r="BX43" i="8"/>
  <c r="CG43" i="8"/>
  <c r="CW43" i="8" s="1"/>
  <c r="BZ43" i="8"/>
  <c r="CA43" i="8"/>
  <c r="CQ43" i="8" s="1"/>
  <c r="BY43" i="8"/>
  <c r="AE43" i="7"/>
  <c r="AF43" i="7" s="1"/>
  <c r="Q43" i="7"/>
  <c r="AR42" i="5"/>
  <c r="AQ42" i="5"/>
  <c r="C45" i="5"/>
  <c r="F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BJ44" i="8" l="1"/>
  <c r="BL44" i="8"/>
  <c r="BN44" i="8"/>
  <c r="BP44" i="8"/>
  <c r="AW45" i="5"/>
  <c r="AB44" i="2"/>
  <c r="AE56" i="9"/>
  <c r="G50" i="8"/>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S44" i="8"/>
  <c r="BO44" i="8"/>
  <c r="BM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CZ47" i="5"/>
  <c r="B43" i="14"/>
  <c r="AQ43" i="5"/>
  <c r="AR43" i="5"/>
  <c r="A45" i="10"/>
  <c r="AA45" i="10" s="1"/>
  <c r="AJ45" i="5"/>
  <c r="AP45" i="5" s="1"/>
  <c r="B45" i="9"/>
  <c r="X45" i="9" s="1"/>
  <c r="AI45" i="5"/>
  <c r="A45" i="11"/>
  <c r="AC45" i="8"/>
  <c r="BT45" i="5"/>
  <c r="B45" i="7"/>
  <c r="X45" i="8"/>
  <c r="DA45" i="8" s="1"/>
  <c r="E45" i="1"/>
  <c r="AC46" i="1"/>
  <c r="DA46" i="5"/>
  <c r="DG46" i="5" s="1" a="1"/>
  <c r="DG46" i="5" s="1"/>
  <c r="AB47" i="1"/>
  <c r="DI47" i="5"/>
  <c r="AF56" i="9"/>
  <c r="AJ56" i="9"/>
  <c r="AD118" i="9"/>
  <c r="N32" i="1"/>
  <c r="S49" i="2"/>
  <c r="N50" i="2"/>
  <c r="R50" i="2"/>
  <c r="Q49" i="2"/>
  <c r="J51" i="10"/>
  <c r="N51" i="5" s="1"/>
  <c r="P51" i="2"/>
  <c r="M50" i="2"/>
  <c r="BJ45" i="8" l="1"/>
  <c r="BL45" i="8"/>
  <c r="BN45" i="8"/>
  <c r="BP45" i="8"/>
  <c r="AW46" i="5"/>
  <c r="AB45" i="2"/>
  <c r="AE57" i="9"/>
  <c r="G51" i="8"/>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J49" i="2" s="1"/>
  <c r="AG44" i="7"/>
  <c r="O54" i="1"/>
  <c r="BS45" i="8"/>
  <c r="BT45" i="8"/>
  <c r="BO45" i="8"/>
  <c r="BM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AI46" i="5"/>
  <c r="AJ46" i="5"/>
  <c r="AP46" i="5" s="1"/>
  <c r="E46" i="1"/>
  <c r="X46" i="8"/>
  <c r="DA46" i="8" s="1"/>
  <c r="A46" i="11"/>
  <c r="Y45" i="11" s="1"/>
  <c r="AH45" i="1" s="1"/>
  <c r="B46" i="9"/>
  <c r="X46" i="9" s="1"/>
  <c r="B46" i="7"/>
  <c r="A46" i="10"/>
  <c r="AA46" i="10" s="1"/>
  <c r="C47" i="5"/>
  <c r="F47" i="5" s="1"/>
  <c r="Y44" i="11"/>
  <c r="AH44" i="1" s="1"/>
  <c r="N45" i="11"/>
  <c r="AB44" i="11"/>
  <c r="Q44" i="8" s="1"/>
  <c r="Z44" i="11"/>
  <c r="AA44" i="11"/>
  <c r="AK44" i="1" s="1"/>
  <c r="AC44" i="11"/>
  <c r="U44" i="8" s="1"/>
  <c r="AD44" i="11"/>
  <c r="AI44" i="1" s="1"/>
  <c r="BX45" i="8"/>
  <c r="BY45" i="8"/>
  <c r="CA45" i="8"/>
  <c r="CQ45" i="8" s="1"/>
  <c r="CB45" i="8"/>
  <c r="CS45" i="8" s="1"/>
  <c r="CT45" i="8" s="1"/>
  <c r="CG45" i="8"/>
  <c r="CW45" i="8" s="1"/>
  <c r="BZ45" i="8"/>
  <c r="CZ48" i="5"/>
  <c r="AE45" i="7"/>
  <c r="AF45" i="7" s="1"/>
  <c r="Q45" i="7"/>
  <c r="AB48" i="1"/>
  <c r="DI48" i="5"/>
  <c r="AC47" i="1"/>
  <c r="DA47" i="5"/>
  <c r="DG47" i="5" s="1" a="1"/>
  <c r="DG47" i="5" s="1"/>
  <c r="AF57" i="9"/>
  <c r="AJ57" i="9"/>
  <c r="AD119" i="9"/>
  <c r="N33" i="1"/>
  <c r="S50" i="2"/>
  <c r="N51" i="2"/>
  <c r="R51" i="2"/>
  <c r="Q50" i="2"/>
  <c r="M51" i="2"/>
  <c r="P52" i="2"/>
  <c r="J52" i="10"/>
  <c r="N52" i="5" s="1"/>
  <c r="BJ46" i="8" l="1"/>
  <c r="BL46" i="8"/>
  <c r="BN46" i="8"/>
  <c r="BP46" i="8"/>
  <c r="AW47" i="5"/>
  <c r="AB46" i="2"/>
  <c r="AE58" i="9"/>
  <c r="G52" i="8"/>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J50" i="2" s="1"/>
  <c r="AG45" i="7"/>
  <c r="O55" i="1"/>
  <c r="BS46" i="8"/>
  <c r="BO46" i="8"/>
  <c r="BM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X46" i="8"/>
  <c r="CB46" i="8"/>
  <c r="CS46" i="8" s="1"/>
  <c r="CT46" i="8" s="1"/>
  <c r="CG46" i="8"/>
  <c r="CW46" i="8" s="1"/>
  <c r="BZ46" i="8"/>
  <c r="CA46" i="8"/>
  <c r="CQ46" i="8" s="1"/>
  <c r="BY46" i="8"/>
  <c r="C48" i="5"/>
  <c r="F48" i="5" s="1"/>
  <c r="CO45" i="8"/>
  <c r="CZ49" i="5"/>
  <c r="AC48" i="1"/>
  <c r="DA48" i="5"/>
  <c r="DG48" i="5" s="1" a="1"/>
  <c r="DG48" i="5" s="1"/>
  <c r="AB49" i="1"/>
  <c r="DI49" i="5"/>
  <c r="AF58" i="9"/>
  <c r="AJ58" i="9"/>
  <c r="AD120" i="9"/>
  <c r="N34" i="1"/>
  <c r="S51" i="2"/>
  <c r="N52" i="2"/>
  <c r="R52" i="2"/>
  <c r="Q51" i="2"/>
  <c r="J53" i="10"/>
  <c r="N53" i="5" s="1"/>
  <c r="M52" i="2"/>
  <c r="P53" i="2"/>
  <c r="BJ47" i="8" l="1"/>
  <c r="BL47" i="8"/>
  <c r="BP47" i="8"/>
  <c r="BN47" i="8"/>
  <c r="AW48" i="5"/>
  <c r="AB47" i="2"/>
  <c r="AE59" i="9"/>
  <c r="G53" i="8"/>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W47" i="8"/>
  <c r="CC47" i="8" s="1"/>
  <c r="BS47" i="8"/>
  <c r="BO47" i="8"/>
  <c r="BM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CO46" i="8"/>
  <c r="A48" i="10"/>
  <c r="AA48" i="10" s="1"/>
  <c r="B48" i="7"/>
  <c r="A48" i="11"/>
  <c r="X48" i="8"/>
  <c r="DA48" i="8" s="1"/>
  <c r="E48" i="1"/>
  <c r="AJ48" i="5"/>
  <c r="AP48" i="5" s="1"/>
  <c r="B48" i="9"/>
  <c r="X48" i="9" s="1"/>
  <c r="AI48" i="5"/>
  <c r="AC48" i="8"/>
  <c r="BT48" i="5"/>
  <c r="CZ50" i="5"/>
  <c r="AB50" i="1"/>
  <c r="DI50" i="5"/>
  <c r="C50" i="5"/>
  <c r="AC49" i="1"/>
  <c r="DA49" i="5"/>
  <c r="DG49" i="5" s="1" a="1"/>
  <c r="DG49" i="5" s="1"/>
  <c r="AF59" i="9"/>
  <c r="AJ59" i="9"/>
  <c r="AD121" i="9"/>
  <c r="N35" i="1"/>
  <c r="S52" i="2"/>
  <c r="N53" i="2"/>
  <c r="R53" i="2"/>
  <c r="Q52" i="2"/>
  <c r="P54" i="2"/>
  <c r="M53" i="2"/>
  <c r="J54" i="10"/>
  <c r="N54" i="5" s="1"/>
  <c r="BJ48" i="8" l="1"/>
  <c r="BL48" i="8"/>
  <c r="BP48" i="8"/>
  <c r="BN48" i="8"/>
  <c r="AE60" i="9"/>
  <c r="AW49" i="5"/>
  <c r="AB48" i="2"/>
  <c r="G54" i="8"/>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D47" i="8"/>
  <c r="CU47" i="8" s="1"/>
  <c r="CV47" i="8" s="1"/>
  <c r="BS48" i="8"/>
  <c r="BO48" i="8"/>
  <c r="BM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BJ49" i="8" l="1"/>
  <c r="BL49" i="8"/>
  <c r="BP49" i="8"/>
  <c r="BN49" i="8"/>
  <c r="AW50" i="5"/>
  <c r="AB49" i="2"/>
  <c r="AE61" i="9"/>
  <c r="G55" i="8"/>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S49" i="8"/>
  <c r="BO49" i="8"/>
  <c r="BM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C51" i="5"/>
  <c r="F51" i="5" s="1"/>
  <c r="CO48" i="8"/>
  <c r="DI52" i="5"/>
  <c r="AB52" i="1"/>
  <c r="AC51" i="1"/>
  <c r="DA51" i="5"/>
  <c r="DG51" i="5" s="1" a="1"/>
  <c r="DG51" i="5" s="1"/>
  <c r="AQ5" i="5"/>
  <c r="AF61" i="9"/>
  <c r="AJ61" i="9"/>
  <c r="AD123" i="9"/>
  <c r="N37" i="1"/>
  <c r="S54" i="2"/>
  <c r="N55" i="2"/>
  <c r="R55" i="2"/>
  <c r="Q54" i="2"/>
  <c r="M55" i="2"/>
  <c r="J56" i="10"/>
  <c r="N56" i="5" s="1"/>
  <c r="P56" i="2"/>
  <c r="BJ50" i="8" l="1"/>
  <c r="BL50" i="8"/>
  <c r="BP50" i="8"/>
  <c r="BN50" i="8"/>
  <c r="AW51" i="5"/>
  <c r="AB50" i="2"/>
  <c r="AE62" i="9"/>
  <c r="G56" i="8"/>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J54" i="2" s="1"/>
  <c r="AG50" i="7"/>
  <c r="AG49" i="7"/>
  <c r="O59" i="1"/>
  <c r="BS50" i="8"/>
  <c r="BO50" i="8"/>
  <c r="BM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T51" i="5"/>
  <c r="A51" i="10"/>
  <c r="AA51" i="10" s="1"/>
  <c r="B51" i="9"/>
  <c r="X51" i="9" s="1"/>
  <c r="C52" i="5"/>
  <c r="F52" i="5" s="1"/>
  <c r="AC52" i="1"/>
  <c r="DA52" i="5"/>
  <c r="DG52" i="5" s="1" a="1"/>
  <c r="DG52" i="5" s="1"/>
  <c r="AB53" i="1"/>
  <c r="DI53" i="5"/>
  <c r="AF62" i="9"/>
  <c r="AJ62" i="9"/>
  <c r="AD124" i="9"/>
  <c r="N38" i="1"/>
  <c r="S55" i="2"/>
  <c r="N56" i="2"/>
  <c r="R56" i="2"/>
  <c r="Q55" i="2"/>
  <c r="P57" i="2"/>
  <c r="J57" i="10"/>
  <c r="N57" i="5" s="1"/>
  <c r="M56" i="2"/>
  <c r="BJ51" i="8" l="1"/>
  <c r="BL51" i="8"/>
  <c r="BP51" i="8"/>
  <c r="BN51" i="8"/>
  <c r="AT55" i="5"/>
  <c r="AW52" i="5"/>
  <c r="AB51" i="2"/>
  <c r="AE63" i="9"/>
  <c r="G57" i="8"/>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J55" i="2" s="1"/>
  <c r="O60" i="1"/>
  <c r="BS51" i="8"/>
  <c r="BO51" i="8"/>
  <c r="BM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C53" i="5"/>
  <c r="F53" i="5" s="1"/>
  <c r="AB54" i="1"/>
  <c r="DI54" i="5"/>
  <c r="AC53" i="1"/>
  <c r="DA53" i="5"/>
  <c r="DG53" i="5" s="1" a="1"/>
  <c r="DG53" i="5" s="1"/>
  <c r="AF63" i="9"/>
  <c r="AJ63" i="9"/>
  <c r="AD125" i="9"/>
  <c r="N39" i="1"/>
  <c r="S56" i="2"/>
  <c r="N57" i="2"/>
  <c r="R57" i="2"/>
  <c r="Q56" i="2"/>
  <c r="P58" i="2"/>
  <c r="M57" i="2"/>
  <c r="J58" i="10"/>
  <c r="N58" i="5" s="1"/>
  <c r="BJ52" i="8" l="1"/>
  <c r="BL52" i="8"/>
  <c r="BP52" i="8"/>
  <c r="BN52" i="8"/>
  <c r="AW53" i="5"/>
  <c r="AB52" i="2"/>
  <c r="AE64" i="9"/>
  <c r="G58" i="8"/>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J56" i="2" s="1"/>
  <c r="AG51" i="7"/>
  <c r="O61" i="1"/>
  <c r="AN52" i="5"/>
  <c r="BW52" i="8"/>
  <c r="CC52" i="8" s="1"/>
  <c r="BS52" i="8"/>
  <c r="BO52" i="8"/>
  <c r="BM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CZ55" i="5"/>
  <c r="CG52" i="8"/>
  <c r="CW52" i="8" s="1"/>
  <c r="CB52" i="8"/>
  <c r="CS52" i="8" s="1"/>
  <c r="CT52" i="8" s="1"/>
  <c r="BZ52" i="8"/>
  <c r="CA52" i="8"/>
  <c r="CQ52" i="8" s="1"/>
  <c r="BX52" i="8"/>
  <c r="BY52" i="8"/>
  <c r="AJ53" i="5"/>
  <c r="AP53" i="5" s="1"/>
  <c r="X53" i="8"/>
  <c r="DA53" i="8" s="1"/>
  <c r="AI53" i="5"/>
  <c r="A53" i="11"/>
  <c r="B53" i="9"/>
  <c r="X53" i="9" s="1"/>
  <c r="AC53" i="8"/>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BJ53" i="8" l="1"/>
  <c r="BL53" i="8"/>
  <c r="BP53" i="8"/>
  <c r="BN53" i="8"/>
  <c r="AE65" i="9"/>
  <c r="AW54" i="5"/>
  <c r="AB53" i="2"/>
  <c r="G59" i="8"/>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J57" i="2" s="1"/>
  <c r="AG52" i="7"/>
  <c r="O62" i="1"/>
  <c r="CD52" i="8"/>
  <c r="CU52" i="8" s="1"/>
  <c r="CV52" i="8" s="1"/>
  <c r="BS53" i="8"/>
  <c r="BO53" i="8"/>
  <c r="BM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T54" i="5"/>
  <c r="E54" i="1"/>
  <c r="AJ54" i="5"/>
  <c r="AP54" i="5" s="1"/>
  <c r="X54" i="8"/>
  <c r="DA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BJ54" i="8" l="1"/>
  <c r="BL54" i="8"/>
  <c r="BP54" i="8"/>
  <c r="BN54" i="8"/>
  <c r="AW55" i="5"/>
  <c r="AB54" i="2"/>
  <c r="AE66" i="9"/>
  <c r="G60" i="8"/>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W54" i="8"/>
  <c r="CC54" i="8" s="1"/>
  <c r="BS54" i="8"/>
  <c r="BO54" i="8"/>
  <c r="BM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BJ55" i="8" l="1"/>
  <c r="BL55" i="8"/>
  <c r="BP55" i="8"/>
  <c r="BN55" i="8"/>
  <c r="AE67" i="9"/>
  <c r="AW56" i="5"/>
  <c r="AB55" i="2"/>
  <c r="G61" i="8"/>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J59" i="2" s="1"/>
  <c r="AG54" i="7"/>
  <c r="O64" i="1"/>
  <c r="CD54" i="8"/>
  <c r="CU54" i="8" s="1"/>
  <c r="CV54" i="8" s="1"/>
  <c r="BS55" i="8"/>
  <c r="BO55" i="8"/>
  <c r="BM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T56" i="5"/>
  <c r="X56" i="8"/>
  <c r="DA56" i="8" s="1"/>
  <c r="AJ56" i="5"/>
  <c r="AP56" i="5" s="1"/>
  <c r="A56" i="10"/>
  <c r="AA56" i="10" s="1"/>
  <c r="B56" i="7"/>
  <c r="E56" i="1"/>
  <c r="AI56" i="5"/>
  <c r="B56" i="9"/>
  <c r="X56" i="9" s="1"/>
  <c r="CZ58" i="5"/>
  <c r="C57" i="5"/>
  <c r="F57" i="5" s="1"/>
  <c r="CO54" i="8"/>
  <c r="AB58" i="1"/>
  <c r="DI58" i="5"/>
  <c r="AC57" i="1"/>
  <c r="DA57" i="5"/>
  <c r="DG57" i="5" s="1" a="1"/>
  <c r="DG57" i="5" s="1"/>
  <c r="AF67" i="9"/>
  <c r="AJ67" i="9"/>
  <c r="AD129" i="9"/>
  <c r="N43" i="1"/>
  <c r="S60" i="2"/>
  <c r="N61" i="2"/>
  <c r="R61" i="2"/>
  <c r="Q60" i="2"/>
  <c r="J62" i="10"/>
  <c r="N62" i="5" s="1"/>
  <c r="M61" i="2"/>
  <c r="P62" i="2"/>
  <c r="BJ56" i="8" l="1"/>
  <c r="BL56" i="8"/>
  <c r="BP56" i="8"/>
  <c r="BN56" i="8"/>
  <c r="AW57" i="5"/>
  <c r="AB56" i="2"/>
  <c r="AE68" i="9"/>
  <c r="G62" i="8"/>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S56" i="8"/>
  <c r="BO56" i="8"/>
  <c r="BM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T57" i="5"/>
  <c r="A57" i="10"/>
  <c r="AA57" i="10" s="1"/>
  <c r="B57" i="7"/>
  <c r="X57" i="8"/>
  <c r="DA57" i="8" s="1"/>
  <c r="E57" i="1"/>
  <c r="AJ57" i="5"/>
  <c r="AP57" i="5" s="1"/>
  <c r="B57" i="9"/>
  <c r="X57" i="9" s="1"/>
  <c r="CG56" i="8"/>
  <c r="CW56" i="8" s="1"/>
  <c r="BZ56" i="8"/>
  <c r="CA56" i="8"/>
  <c r="CQ56" i="8" s="1"/>
  <c r="BX56" i="8"/>
  <c r="BY56" i="8"/>
  <c r="CB56" i="8"/>
  <c r="CS56" i="8" s="1"/>
  <c r="CT56" i="8" s="1"/>
  <c r="AE56" i="7"/>
  <c r="AF56" i="7" s="1"/>
  <c r="Q56" i="7"/>
  <c r="C58" i="5"/>
  <c r="F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BJ57" i="8" l="1"/>
  <c r="BL57" i="8"/>
  <c r="BP57" i="8"/>
  <c r="BN57" i="8"/>
  <c r="AE69" i="9"/>
  <c r="AW58" i="5"/>
  <c r="AB57" i="2"/>
  <c r="G63" i="8"/>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W57" i="8"/>
  <c r="CD57" i="8" s="1"/>
  <c r="BS57" i="8"/>
  <c r="BO57" i="8"/>
  <c r="BM57" i="8"/>
  <c r="AN57" i="5"/>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CZ60" i="5"/>
  <c r="AI58" i="5"/>
  <c r="A58" i="11"/>
  <c r="B58" i="9"/>
  <c r="X58" i="9" s="1"/>
  <c r="AC58" i="8"/>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BJ58" i="8" l="1"/>
  <c r="BL58" i="8"/>
  <c r="BN58" i="8"/>
  <c r="BP58" i="8"/>
  <c r="AW59" i="5"/>
  <c r="AB58" i="2"/>
  <c r="AE70" i="9"/>
  <c r="G64" i="8"/>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C57" i="8"/>
  <c r="BW58" i="8"/>
  <c r="CC58" i="8" s="1"/>
  <c r="BS58" i="8"/>
  <c r="BO58" i="8"/>
  <c r="BM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CZ61" i="5"/>
  <c r="C60" i="5"/>
  <c r="F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BJ59" i="8" l="1"/>
  <c r="BL59" i="8"/>
  <c r="BN59" i="8"/>
  <c r="BP59" i="8"/>
  <c r="AW60" i="5"/>
  <c r="AB59" i="2"/>
  <c r="AE71" i="9"/>
  <c r="G65" i="8"/>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J63" i="2" s="1"/>
  <c r="AG58" i="7"/>
  <c r="O68" i="1"/>
  <c r="CD58" i="8"/>
  <c r="CU58" i="8" s="1"/>
  <c r="CV58" i="8" s="1"/>
  <c r="BW59" i="8"/>
  <c r="CC59" i="8" s="1"/>
  <c r="BS59" i="8"/>
  <c r="BO59" i="8"/>
  <c r="BM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T60" i="5"/>
  <c r="X60" i="8"/>
  <c r="DA60" i="8" s="1"/>
  <c r="C61" i="5"/>
  <c r="F61" i="5" s="1"/>
  <c r="CZ62" i="5"/>
  <c r="CO58" i="8"/>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BJ60" i="8" l="1"/>
  <c r="BL60" i="8"/>
  <c r="BN60" i="8"/>
  <c r="BP60" i="8"/>
  <c r="AW61" i="5"/>
  <c r="AB60" i="2"/>
  <c r="AE72" i="9"/>
  <c r="G66" i="8"/>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J64" i="2" s="1"/>
  <c r="AG59" i="7"/>
  <c r="O69" i="1"/>
  <c r="CD59" i="8"/>
  <c r="CU59" i="8" s="1"/>
  <c r="CV59" i="8" s="1"/>
  <c r="BS60" i="8"/>
  <c r="BO60" i="8"/>
  <c r="BM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BJ61" i="8" l="1"/>
  <c r="BL61" i="8"/>
  <c r="BN61" i="8"/>
  <c r="BP61" i="8"/>
  <c r="AW62" i="5"/>
  <c r="AB61" i="2"/>
  <c r="AE73" i="9"/>
  <c r="G67" i="8"/>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W61" i="8"/>
  <c r="CD61" i="8" s="1"/>
  <c r="BS61" i="8"/>
  <c r="BO61" i="8"/>
  <c r="BM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C63" i="5"/>
  <c r="F63" i="5" s="1"/>
  <c r="B62" i="9"/>
  <c r="X62" i="9" s="1"/>
  <c r="AI62" i="5"/>
  <c r="A62" i="11"/>
  <c r="AC62" i="8"/>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BJ62" i="8" l="1"/>
  <c r="BL62" i="8"/>
  <c r="BN62" i="8"/>
  <c r="BP62" i="8"/>
  <c r="AE74" i="9"/>
  <c r="AW63" i="5"/>
  <c r="AB62" i="2"/>
  <c r="G68" i="8"/>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C61" i="8"/>
  <c r="BW62" i="8"/>
  <c r="CC62" i="8" s="1"/>
  <c r="BS62" i="8"/>
  <c r="BO62" i="8"/>
  <c r="BM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CO61" i="8"/>
  <c r="C64" i="5"/>
  <c r="F64" i="5" s="1"/>
  <c r="AE62" i="7"/>
  <c r="AF62" i="7" s="1"/>
  <c r="Q62" i="7"/>
  <c r="C65" i="5"/>
  <c r="AC64" i="1"/>
  <c r="DA64" i="5"/>
  <c r="DG64" i="5" s="1" a="1"/>
  <c r="DG64" i="5" s="1"/>
  <c r="AB65" i="1"/>
  <c r="DI65" i="5"/>
  <c r="AF74" i="9"/>
  <c r="AJ74" i="9"/>
  <c r="AD136" i="9"/>
  <c r="N50" i="1"/>
  <c r="S67" i="2"/>
  <c r="N68" i="2"/>
  <c r="R68" i="2"/>
  <c r="Q67" i="2"/>
  <c r="J69" i="10"/>
  <c r="N69" i="5" s="1"/>
  <c r="M68" i="2"/>
  <c r="P69" i="2"/>
  <c r="BJ63" i="8" l="1"/>
  <c r="BL63" i="8"/>
  <c r="BP63" i="8"/>
  <c r="BN63" i="8"/>
  <c r="AW64" i="5"/>
  <c r="AB63" i="2"/>
  <c r="AE75" i="9"/>
  <c r="G69" i="8"/>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J67" i="2" s="1"/>
  <c r="AG62" i="7"/>
  <c r="AI62" i="7" s="1"/>
  <c r="O72" i="1"/>
  <c r="CD62" i="8"/>
  <c r="CU62" i="8" s="1"/>
  <c r="CV62" i="8" s="1"/>
  <c r="BS63" i="8"/>
  <c r="BO63" i="8"/>
  <c r="BM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Q63" i="7"/>
  <c r="AE63" i="7"/>
  <c r="AF63" i="7" s="1"/>
  <c r="CZ66" i="5"/>
  <c r="AI64" i="5"/>
  <c r="B64" i="9"/>
  <c r="X64" i="9" s="1"/>
  <c r="B64" i="7"/>
  <c r="A64" i="11"/>
  <c r="A64" i="10"/>
  <c r="AA64" i="10" s="1"/>
  <c r="AC64" i="8"/>
  <c r="BT64" i="5"/>
  <c r="AJ64" i="5"/>
  <c r="AP64" i="5" s="1"/>
  <c r="X64" i="8"/>
  <c r="DA64" i="8" s="1"/>
  <c r="E64" i="1"/>
  <c r="AB66" i="1"/>
  <c r="DI66" i="5"/>
  <c r="C66" i="5"/>
  <c r="AC65" i="1"/>
  <c r="DA65" i="5"/>
  <c r="DG65" i="5" s="1" a="1"/>
  <c r="DG65" i="5" s="1"/>
  <c r="AF75" i="9"/>
  <c r="AJ75" i="9"/>
  <c r="N51" i="1"/>
  <c r="S68" i="2"/>
  <c r="N69" i="2"/>
  <c r="R69" i="2"/>
  <c r="Q68" i="2"/>
  <c r="M69" i="2"/>
  <c r="J70" i="10"/>
  <c r="N70" i="5" s="1"/>
  <c r="P70" i="2"/>
  <c r="BJ64" i="8" l="1"/>
  <c r="BL64" i="8"/>
  <c r="BP64" i="8"/>
  <c r="BN64" i="8"/>
  <c r="AW65" i="5"/>
  <c r="AB64" i="2"/>
  <c r="AE76" i="9"/>
  <c r="G70" i="8"/>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J68" i="2" s="1"/>
  <c r="AG63" i="7"/>
  <c r="AI63" i="7" s="1"/>
  <c r="O73" i="1"/>
  <c r="BW64" i="8"/>
  <c r="CD64" i="8" s="1"/>
  <c r="BS64" i="8"/>
  <c r="BO64" i="8"/>
  <c r="BM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V65" i="8"/>
  <c r="BZ65" i="8" s="1"/>
  <c r="AI65" i="5"/>
  <c r="CP62" i="8"/>
  <c r="DC62" i="8" s="1"/>
  <c r="G62" i="1" s="1"/>
  <c r="N62" i="8" s="1"/>
  <c r="B65" i="9"/>
  <c r="X65" i="9" s="1"/>
  <c r="AJ65" i="5"/>
  <c r="AP65" i="5" s="1"/>
  <c r="BH65" i="8"/>
  <c r="B65" i="7"/>
  <c r="Q65" i="7" s="1"/>
  <c r="BG65" i="8"/>
  <c r="BT65" i="8" s="1"/>
  <c r="BT65" i="5"/>
  <c r="A65" i="10"/>
  <c r="AA65" i="10" s="1"/>
  <c r="DE65" i="8"/>
  <c r="DF65" i="8" s="1"/>
  <c r="F66" i="5"/>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BJ65" i="8" l="1"/>
  <c r="BL65" i="8"/>
  <c r="BP65" i="8"/>
  <c r="BN65" i="8"/>
  <c r="AW66" i="5"/>
  <c r="AB65" i="2"/>
  <c r="AE77" i="9"/>
  <c r="G71" i="8"/>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J69" i="2" s="1"/>
  <c r="AG64" i="7"/>
  <c r="AI64" i="7" s="1"/>
  <c r="O74" i="1"/>
  <c r="BS65" i="8"/>
  <c r="BO65" i="8"/>
  <c r="BM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CZ68" i="5"/>
  <c r="B64" i="14"/>
  <c r="C67" i="5"/>
  <c r="F67" i="5" s="1"/>
  <c r="AB68" i="1"/>
  <c r="DI68" i="5"/>
  <c r="AC67" i="1"/>
  <c r="DA67" i="5"/>
  <c r="DG67" i="5" s="1" a="1"/>
  <c r="DG67" i="5" s="1"/>
  <c r="AF77" i="9"/>
  <c r="AJ77" i="9"/>
  <c r="N53" i="1"/>
  <c r="S70" i="2"/>
  <c r="N71" i="2"/>
  <c r="R71" i="2"/>
  <c r="Q70" i="2"/>
  <c r="M71" i="2"/>
  <c r="J72" i="10"/>
  <c r="N72" i="5" s="1"/>
  <c r="P72" i="2"/>
  <c r="BJ66" i="8" l="1"/>
  <c r="BL66" i="8"/>
  <c r="BP66" i="8"/>
  <c r="BN66" i="8"/>
  <c r="AE78" i="9"/>
  <c r="AW67" i="5"/>
  <c r="AB66" i="2"/>
  <c r="G72" i="8"/>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J70" i="2" s="1"/>
  <c r="AG65" i="7"/>
  <c r="AI65" i="7" s="1"/>
  <c r="AG66" i="7"/>
  <c r="AI66" i="7" s="1"/>
  <c r="O75" i="1"/>
  <c r="BW66" i="8"/>
  <c r="CD66" i="8" s="1"/>
  <c r="BS66" i="8"/>
  <c r="BO66" i="8"/>
  <c r="BM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C68" i="5"/>
  <c r="F68" i="5" s="1"/>
  <c r="CZ69" i="5"/>
  <c r="AI67" i="5"/>
  <c r="B67" i="9"/>
  <c r="X67" i="9" s="1"/>
  <c r="A67" i="11"/>
  <c r="AC67" i="8"/>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BJ67" i="8" l="1"/>
  <c r="BL67" i="8"/>
  <c r="BP67" i="8"/>
  <c r="BN67" i="8"/>
  <c r="AW68" i="5"/>
  <c r="AB67" i="2"/>
  <c r="AE79" i="9"/>
  <c r="G73" i="8"/>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J71" i="2" s="1"/>
  <c r="O76" i="1"/>
  <c r="CC66" i="8"/>
  <c r="BS67" i="8"/>
  <c r="BT67" i="8"/>
  <c r="AH71" i="11"/>
  <c r="BO67" i="8"/>
  <c r="BM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E67" i="7"/>
  <c r="AF67" i="7" s="1"/>
  <c r="Q67" i="7"/>
  <c r="CZ70" i="5"/>
  <c r="CH67" i="8"/>
  <c r="CX67" i="8" s="1"/>
  <c r="AA66" i="11"/>
  <c r="AK66" i="1" s="1"/>
  <c r="Y66" i="11"/>
  <c r="AH66" i="1" s="1"/>
  <c r="AC66" i="11"/>
  <c r="U66" i="8" s="1"/>
  <c r="AB66" i="11"/>
  <c r="Q66" i="8" s="1"/>
  <c r="AD66" i="11"/>
  <c r="AI66" i="1" s="1"/>
  <c r="N67" i="11"/>
  <c r="Z66" i="11"/>
  <c r="AC68" i="8"/>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BJ68" i="8" l="1"/>
  <c r="BL68" i="8"/>
  <c r="BP68" i="8"/>
  <c r="BN68" i="8"/>
  <c r="AW69" i="5"/>
  <c r="AB68" i="2"/>
  <c r="AE80" i="9"/>
  <c r="AQ67" i="5"/>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J72" i="2" s="1"/>
  <c r="AG67" i="7"/>
  <c r="AI67" i="7" s="1"/>
  <c r="O77" i="1"/>
  <c r="AH72" i="11"/>
  <c r="BW68" i="8"/>
  <c r="CC68" i="8" s="1"/>
  <c r="BS68" i="8"/>
  <c r="BO68" i="8"/>
  <c r="BM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CO67" i="8"/>
  <c r="CH68" i="8"/>
  <c r="CX68" i="8" s="1"/>
  <c r="AC70" i="1"/>
  <c r="DA70" i="5"/>
  <c r="DG70" i="5" s="1" a="1"/>
  <c r="DG70" i="5" s="1"/>
  <c r="AB71" i="1"/>
  <c r="DI71" i="5"/>
  <c r="AF80" i="9"/>
  <c r="AJ80" i="9"/>
  <c r="N56" i="1"/>
  <c r="S73" i="2"/>
  <c r="N74" i="2"/>
  <c r="R74" i="2"/>
  <c r="Q73" i="2"/>
  <c r="J75" i="10"/>
  <c r="N75" i="5" s="1"/>
  <c r="M74" i="2"/>
  <c r="P75" i="2"/>
  <c r="BJ69" i="8" l="1"/>
  <c r="BL69" i="8"/>
  <c r="BP69" i="8"/>
  <c r="BN69" i="8"/>
  <c r="AE81" i="9"/>
  <c r="AW70" i="5"/>
  <c r="AB69" i="2"/>
  <c r="G75" i="8"/>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J73" i="2" s="1"/>
  <c r="AG68" i="7"/>
  <c r="AI68" i="7" s="1"/>
  <c r="O78" i="1"/>
  <c r="AH73" i="11"/>
  <c r="CD68" i="8"/>
  <c r="CU68" i="8" s="1"/>
  <c r="CV68" i="8" s="1"/>
  <c r="BS69" i="8"/>
  <c r="BO69" i="8"/>
  <c r="BM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CZ72" i="5"/>
  <c r="C71" i="5"/>
  <c r="F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BJ70" i="8" l="1"/>
  <c r="BL70" i="8"/>
  <c r="BP70" i="8"/>
  <c r="BN70" i="8"/>
  <c r="AW71" i="5"/>
  <c r="AB70" i="2"/>
  <c r="AE82" i="9"/>
  <c r="CE75" i="8"/>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J74" i="2" s="1"/>
  <c r="AG69" i="7"/>
  <c r="AI69" i="7" s="1"/>
  <c r="AG70" i="7"/>
  <c r="AI70" i="7" s="1"/>
  <c r="O79" i="1"/>
  <c r="BS70" i="8"/>
  <c r="BO70" i="8"/>
  <c r="BM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BJ71" i="8" l="1"/>
  <c r="BL71" i="8"/>
  <c r="BP71" i="8"/>
  <c r="BN71" i="8"/>
  <c r="AE83" i="9"/>
  <c r="AW72" i="5"/>
  <c r="AB71" i="2"/>
  <c r="D88" i="4"/>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J75" i="2" s="1"/>
  <c r="DE72" i="8"/>
  <c r="DF72" i="8" s="1"/>
  <c r="O80" i="1"/>
  <c r="BW71" i="8"/>
  <c r="CC71" i="8" s="1"/>
  <c r="BS71" i="8"/>
  <c r="BO71" i="8"/>
  <c r="BM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F73" i="5"/>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BJ72" i="8" l="1"/>
  <c r="BL72" i="8"/>
  <c r="BP72" i="8"/>
  <c r="BN72" i="8"/>
  <c r="AW73" i="5"/>
  <c r="AB72" i="2"/>
  <c r="E62" i="4"/>
  <c r="AE84" i="9"/>
  <c r="G78" i="8"/>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J76" i="2" s="1"/>
  <c r="AG72" i="7"/>
  <c r="AI72" i="7" s="1"/>
  <c r="AG71" i="7"/>
  <c r="AI71" i="7" s="1"/>
  <c r="O81" i="1"/>
  <c r="CD71" i="8"/>
  <c r="CU71" i="8" s="1"/>
  <c r="CV71" i="8" s="1"/>
  <c r="BW72" i="8"/>
  <c r="CC72" i="8" s="1"/>
  <c r="BS72" i="8"/>
  <c r="BO72" i="8"/>
  <c r="BM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C74" i="5"/>
  <c r="F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BJ73" i="8" l="1"/>
  <c r="BL73" i="8"/>
  <c r="BN73" i="8"/>
  <c r="BP73" i="8"/>
  <c r="AE85" i="9"/>
  <c r="AW74" i="5"/>
  <c r="AB73" i="2"/>
  <c r="G79" i="8"/>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J77" i="2" s="1"/>
  <c r="E65" i="4"/>
  <c r="AG73" i="7"/>
  <c r="AI73" i="7" s="1"/>
  <c r="O82" i="1"/>
  <c r="CD72" i="8"/>
  <c r="CU72" i="8" s="1"/>
  <c r="CV72" i="8" s="1"/>
  <c r="BW73" i="8"/>
  <c r="CC73" i="8" s="1"/>
  <c r="BS73" i="8"/>
  <c r="BO73" i="8"/>
  <c r="BM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CZ76" i="5"/>
  <c r="B74" i="9"/>
  <c r="X74" i="9" s="1"/>
  <c r="BT74" i="5"/>
  <c r="X74" i="8"/>
  <c r="DA74" i="8" s="1"/>
  <c r="E74" i="1"/>
  <c r="AC74" i="8"/>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BJ74" i="8" l="1"/>
  <c r="BL74" i="8"/>
  <c r="BN74" i="8"/>
  <c r="BP74" i="8"/>
  <c r="AW75" i="5"/>
  <c r="AB74" i="2"/>
  <c r="AE86" i="9"/>
  <c r="G80" i="8"/>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J78" i="2" s="1"/>
  <c r="O83" i="1"/>
  <c r="CD73" i="8"/>
  <c r="CU73" i="8" s="1"/>
  <c r="CV73" i="8" s="1"/>
  <c r="BW74" i="8"/>
  <c r="CC74" i="8" s="1"/>
  <c r="BS74" i="8"/>
  <c r="BO74" i="8"/>
  <c r="BM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C76" i="5"/>
  <c r="F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BJ75" i="8" l="1"/>
  <c r="BL75" i="8"/>
  <c r="BN75" i="8"/>
  <c r="BP75" i="8"/>
  <c r="AE87" i="9"/>
  <c r="AW76" i="5"/>
  <c r="AB75" i="2"/>
  <c r="G81" i="8"/>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J79" i="2" s="1"/>
  <c r="AG74" i="7"/>
  <c r="AI74" i="7" s="1"/>
  <c r="AG75" i="7"/>
  <c r="AI75" i="7" s="1"/>
  <c r="O84" i="1"/>
  <c r="CD74" i="8"/>
  <c r="CU74" i="8" s="1"/>
  <c r="CV74" i="8" s="1"/>
  <c r="BW75" i="8"/>
  <c r="CC75" i="8" s="1"/>
  <c r="BS75" i="8"/>
  <c r="BO75" i="8"/>
  <c r="BM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T76" i="5"/>
  <c r="E47" i="4" s="1"/>
  <c r="A76" i="10"/>
  <c r="AA76" i="10" s="1"/>
  <c r="B76" i="7"/>
  <c r="AI76" i="5"/>
  <c r="A76" i="11"/>
  <c r="X76" i="8"/>
  <c r="DA76" i="8" s="1"/>
  <c r="E76" i="1"/>
  <c r="B76" i="9"/>
  <c r="X76" i="9" s="1"/>
  <c r="B74" i="14"/>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BJ76" i="8" l="1"/>
  <c r="BL76" i="8"/>
  <c r="BN76" i="8"/>
  <c r="BP76" i="8"/>
  <c r="AW77" i="5"/>
  <c r="AB76" i="2"/>
  <c r="AE88" i="9"/>
  <c r="G82" i="8"/>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J80" i="2" s="1"/>
  <c r="BH77" i="8"/>
  <c r="O85" i="1"/>
  <c r="CD75" i="8"/>
  <c r="CU75" i="8" s="1"/>
  <c r="CV75" i="8" s="1"/>
  <c r="BS76" i="8"/>
  <c r="BO76" i="8"/>
  <c r="BM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CY75" i="8"/>
  <c r="CO75" i="8"/>
  <c r="CP75" i="8" s="1"/>
  <c r="F78" i="5"/>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AC78" i="1"/>
  <c r="DA78" i="5"/>
  <c r="DG78" i="5" s="1" a="1"/>
  <c r="DG78" i="5" s="1"/>
  <c r="AB79" i="1"/>
  <c r="DI79" i="5"/>
  <c r="AF88" i="9"/>
  <c r="AJ88" i="9"/>
  <c r="L35" i="11"/>
  <c r="AU35" i="8"/>
  <c r="B71" i="14"/>
  <c r="N64" i="1"/>
  <c r="S81" i="2"/>
  <c r="N82" i="2"/>
  <c r="R82" i="2"/>
  <c r="Q81" i="2"/>
  <c r="P83" i="2"/>
  <c r="J83" i="10"/>
  <c r="N83" i="5" s="1"/>
  <c r="M82" i="2"/>
  <c r="BJ77" i="8" l="1"/>
  <c r="BL77" i="8"/>
  <c r="BN77" i="8"/>
  <c r="BP77" i="8"/>
  <c r="AW78" i="5"/>
  <c r="AB77" i="2"/>
  <c r="AE89" i="9"/>
  <c r="G83" i="8"/>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J81" i="2" s="1"/>
  <c r="AG76" i="7"/>
  <c r="AI76" i="7" s="1"/>
  <c r="O86" i="1"/>
  <c r="F36" i="4"/>
  <c r="BW77" i="8"/>
  <c r="CD77" i="8" s="1"/>
  <c r="BS77" i="8"/>
  <c r="BO77" i="8"/>
  <c r="BM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BJ78" i="8" l="1"/>
  <c r="BL78" i="8"/>
  <c r="BN78" i="8"/>
  <c r="BP78" i="8"/>
  <c r="AE90" i="9"/>
  <c r="AW79" i="5"/>
  <c r="AB78" i="2"/>
  <c r="G84" i="8"/>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J82" i="2" s="1"/>
  <c r="AG78" i="7"/>
  <c r="AI78" i="7" s="1"/>
  <c r="AG77" i="7"/>
  <c r="AI77" i="7" s="1"/>
  <c r="O87" i="1"/>
  <c r="F39" i="4"/>
  <c r="F37" i="4"/>
  <c r="CC77" i="8"/>
  <c r="BW78" i="8"/>
  <c r="CD78" i="8" s="1"/>
  <c r="BS78" i="8"/>
  <c r="BO78" i="8"/>
  <c r="BM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CZ81" i="5"/>
  <c r="C80" i="5"/>
  <c r="F80" i="5" s="1"/>
  <c r="AJ79" i="5"/>
  <c r="AP79" i="5" s="1"/>
  <c r="AC79" i="8"/>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J79" i="8" l="1"/>
  <c r="BL79" i="8"/>
  <c r="BP79" i="8"/>
  <c r="BN79" i="8"/>
  <c r="AW80" i="5"/>
  <c r="AB79" i="2"/>
  <c r="AE91" i="9"/>
  <c r="BN84" i="5"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J83" i="2" s="1"/>
  <c r="O88" i="1"/>
  <c r="F40" i="4"/>
  <c r="I49" i="4" s="1"/>
  <c r="T4" i="8"/>
  <c r="W4" i="8" s="1"/>
  <c r="V4" i="8"/>
  <c r="CC78" i="8"/>
  <c r="AH83" i="11"/>
  <c r="BS79" i="8"/>
  <c r="BT79" i="8"/>
  <c r="BO79" i="8"/>
  <c r="BM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A80" i="10"/>
  <c r="AA80" i="10" s="1"/>
  <c r="CZ82" i="5"/>
  <c r="Y78" i="11"/>
  <c r="AH78" i="1" s="1"/>
  <c r="AB78" i="11"/>
  <c r="Q78" i="8" s="1"/>
  <c r="N79" i="11"/>
  <c r="Z78" i="11"/>
  <c r="AA78" i="11"/>
  <c r="AK78" i="1" s="1"/>
  <c r="AC78" i="11"/>
  <c r="U78" i="8" s="1"/>
  <c r="AD78" i="11"/>
  <c r="AI78" i="1" s="1"/>
  <c r="C81" i="5"/>
  <c r="F81" i="5" s="1"/>
  <c r="CH79" i="8"/>
  <c r="CX79" i="8" s="1"/>
  <c r="AE79" i="7"/>
  <c r="AF79" i="7" s="1"/>
  <c r="Q79" i="7"/>
  <c r="DI82" i="5"/>
  <c r="AB82" i="1"/>
  <c r="AC81" i="1"/>
  <c r="DA81" i="5"/>
  <c r="DG81" i="5" s="1" a="1"/>
  <c r="DG81" i="5" s="1"/>
  <c r="AF91" i="9"/>
  <c r="AJ91" i="9"/>
  <c r="N67" i="1"/>
  <c r="S84" i="2"/>
  <c r="N85" i="2"/>
  <c r="R85" i="2"/>
  <c r="Q84" i="2"/>
  <c r="P86" i="2"/>
  <c r="J86" i="10"/>
  <c r="N86" i="5" s="1"/>
  <c r="M85" i="2"/>
  <c r="BJ80" i="8" l="1"/>
  <c r="BL80" i="8"/>
  <c r="BP80" i="8"/>
  <c r="BN80" i="8"/>
  <c r="AD83" i="1"/>
  <c r="AE92" i="9"/>
  <c r="AW81" i="5"/>
  <c r="AB80" i="2"/>
  <c r="G86" i="8"/>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J84" i="2" s="1"/>
  <c r="AG79" i="7"/>
  <c r="AI79" i="7" s="1"/>
  <c r="O89" i="1"/>
  <c r="BW80" i="8"/>
  <c r="CC80" i="8" s="1"/>
  <c r="BS80" i="8"/>
  <c r="BO80" i="8"/>
  <c r="BM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CO79" i="8"/>
  <c r="AC82" i="1"/>
  <c r="DA82" i="5"/>
  <c r="DG82" i="5" s="1" a="1"/>
  <c r="DG82" i="5" s="1"/>
  <c r="AB83" i="1"/>
  <c r="DI83" i="5"/>
  <c r="AF92" i="9"/>
  <c r="AJ92" i="9"/>
  <c r="N68" i="1"/>
  <c r="S85" i="2"/>
  <c r="N86" i="2"/>
  <c r="R86" i="2"/>
  <c r="Q85" i="2"/>
  <c r="J87" i="10"/>
  <c r="N87" i="5" s="1"/>
  <c r="P87" i="2"/>
  <c r="M86" i="2"/>
  <c r="BJ81" i="8" l="1"/>
  <c r="BL81" i="8"/>
  <c r="BP81" i="8"/>
  <c r="BN81" i="8"/>
  <c r="AW82" i="5"/>
  <c r="AB81" i="2"/>
  <c r="AE93" i="9"/>
  <c r="BA86" i="5"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J85" i="2" s="1"/>
  <c r="AG80" i="7"/>
  <c r="AI80" i="7" s="1"/>
  <c r="O90" i="1"/>
  <c r="CD80" i="8"/>
  <c r="CU80" i="8" s="1"/>
  <c r="CV80" i="8" s="1"/>
  <c r="BW81" i="8"/>
  <c r="CC81" i="8" s="1"/>
  <c r="BS81" i="8"/>
  <c r="BO81" i="8"/>
  <c r="BM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C83" i="5"/>
  <c r="F83" i="5" s="1"/>
  <c r="CY80" i="8"/>
  <c r="BX81" i="8"/>
  <c r="CG81" i="8"/>
  <c r="CW81" i="8" s="1"/>
  <c r="BY81" i="8"/>
  <c r="CB81" i="8"/>
  <c r="CS81" i="8" s="1"/>
  <c r="CT81" i="8" s="1"/>
  <c r="BZ81" i="8"/>
  <c r="CA81" i="8"/>
  <c r="CQ81" i="8" s="1"/>
  <c r="AQ80" i="5"/>
  <c r="Q81" i="7"/>
  <c r="AE81" i="7"/>
  <c r="AF81" i="7" s="1"/>
  <c r="AR80" i="5"/>
  <c r="B80" i="14"/>
  <c r="CZ84" i="5"/>
  <c r="AC82" i="8"/>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AC83" i="1"/>
  <c r="DA83" i="5"/>
  <c r="DG83" i="5" s="1" a="1"/>
  <c r="DG83" i="5" s="1"/>
  <c r="AF93" i="9"/>
  <c r="AJ93" i="9"/>
  <c r="N69" i="1"/>
  <c r="S86" i="2"/>
  <c r="N87" i="2"/>
  <c r="R87" i="2"/>
  <c r="Q86" i="2"/>
  <c r="M87" i="2"/>
  <c r="J88" i="10"/>
  <c r="N88" i="5" s="1"/>
  <c r="P88" i="2"/>
  <c r="BJ82" i="8" l="1"/>
  <c r="BL82" i="8"/>
  <c r="BP82" i="8"/>
  <c r="BN82" i="8"/>
  <c r="AE94" i="9"/>
  <c r="AW83" i="5"/>
  <c r="AB82" i="2"/>
  <c r="G88" i="8"/>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J86" i="2" s="1"/>
  <c r="AG81" i="7"/>
  <c r="AI81" i="7" s="1"/>
  <c r="O91" i="1"/>
  <c r="CD81" i="8"/>
  <c r="CU81" i="8" s="1"/>
  <c r="CV81" i="8" s="1"/>
  <c r="BW82" i="8"/>
  <c r="CD82" i="8" s="1"/>
  <c r="BS82" i="8"/>
  <c r="BO82" i="8"/>
  <c r="BM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E83" i="1"/>
  <c r="B83" i="7"/>
  <c r="AI83" i="5"/>
  <c r="A83" i="10"/>
  <c r="AA83" i="10" s="1"/>
  <c r="B83" i="9"/>
  <c r="X83" i="9" s="1"/>
  <c r="BT83" i="5"/>
  <c r="X83" i="8"/>
  <c r="DA83" i="8" s="1"/>
  <c r="AQ81" i="5"/>
  <c r="CH82" i="8"/>
  <c r="CX82" i="8" s="1"/>
  <c r="C84" i="5"/>
  <c r="F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BJ83" i="8" l="1"/>
  <c r="BL83" i="8"/>
  <c r="BP83" i="8"/>
  <c r="BN83" i="8"/>
  <c r="AW84" i="5"/>
  <c r="AB83" i="2"/>
  <c r="AE95" i="9"/>
  <c r="G89" i="8"/>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C82" i="8"/>
  <c r="BW83" i="8"/>
  <c r="CD83" i="8" s="1"/>
  <c r="BS83" i="8"/>
  <c r="BO83" i="8"/>
  <c r="BM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B84" i="9"/>
  <c r="X84" i="9" s="1"/>
  <c r="AI84" i="5"/>
  <c r="A84" i="11"/>
  <c r="AC84" i="8"/>
  <c r="BT84" i="5"/>
  <c r="A84" i="10"/>
  <c r="AA84" i="10" s="1"/>
  <c r="B84" i="7"/>
  <c r="X84" i="8"/>
  <c r="DA84" i="8" s="1"/>
  <c r="E84" i="1"/>
  <c r="AJ84" i="5"/>
  <c r="AP84" i="5" s="1"/>
  <c r="CZ86" i="5"/>
  <c r="AB86" i="1"/>
  <c r="DI86" i="5"/>
  <c r="AC85" i="1"/>
  <c r="DA85" i="5"/>
  <c r="DG85" i="5" s="1" a="1"/>
  <c r="DG85" i="5" s="1"/>
  <c r="AF95" i="9"/>
  <c r="AJ95" i="9"/>
  <c r="N71" i="1"/>
  <c r="S88" i="2"/>
  <c r="N89" i="2"/>
  <c r="R89" i="2"/>
  <c r="Q88" i="2"/>
  <c r="J90" i="10"/>
  <c r="N90" i="5" s="1"/>
  <c r="P90" i="2"/>
  <c r="U1269" i="14"/>
  <c r="U1270" i="14" s="1"/>
  <c r="M89" i="2"/>
  <c r="BJ84" i="8" l="1"/>
  <c r="BL84" i="8"/>
  <c r="BP84" i="8"/>
  <c r="BN84" i="8"/>
  <c r="AE96" i="9"/>
  <c r="AW85" i="5"/>
  <c r="AB84" i="2"/>
  <c r="G90" i="8"/>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J88" i="2" s="1"/>
  <c r="BT85" i="5"/>
  <c r="AG83" i="7"/>
  <c r="AI83" i="7" s="1"/>
  <c r="O93" i="1"/>
  <c r="CC83" i="8"/>
  <c r="BW84" i="8"/>
  <c r="CC84" i="8" s="1"/>
  <c r="BS84" i="8"/>
  <c r="BO84" i="8"/>
  <c r="BM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BJ85" i="8" l="1"/>
  <c r="BL85" i="8"/>
  <c r="BP85" i="8"/>
  <c r="BN85" i="8"/>
  <c r="AW86" i="5"/>
  <c r="AB85" i="2"/>
  <c r="AE97" i="9"/>
  <c r="G91" i="8"/>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J89" i="2" s="1"/>
  <c r="AG85" i="7"/>
  <c r="AI85" i="7" s="1"/>
  <c r="AG84" i="7"/>
  <c r="AI84" i="7" s="1"/>
  <c r="O94" i="1"/>
  <c r="CD84" i="8"/>
  <c r="CU84" i="8" s="1"/>
  <c r="CV84" i="8" s="1"/>
  <c r="BW85" i="8"/>
  <c r="CD85" i="8" s="1"/>
  <c r="BS85" i="8"/>
  <c r="BO85" i="8"/>
  <c r="BM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CO84" i="8"/>
  <c r="AQ84" i="5"/>
  <c r="CZ88" i="5"/>
  <c r="AR84" i="5"/>
  <c r="B84" i="14"/>
  <c r="X86" i="8"/>
  <c r="DA86" i="8" s="1"/>
  <c r="E86" i="1"/>
  <c r="AI86" i="5"/>
  <c r="B86" i="9"/>
  <c r="X86" i="9" s="1"/>
  <c r="A86" i="11"/>
  <c r="AJ86" i="5"/>
  <c r="AP86" i="5" s="1"/>
  <c r="AC86" i="8"/>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BJ86" i="8" l="1"/>
  <c r="BL86" i="8"/>
  <c r="BP86" i="8"/>
  <c r="BN86" i="8"/>
  <c r="AW87" i="5"/>
  <c r="AB86" i="2"/>
  <c r="AE98" i="9"/>
  <c r="G92" i="8"/>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J90" i="2" s="1"/>
  <c r="AC87" i="8"/>
  <c r="O95" i="1"/>
  <c r="CC85" i="8"/>
  <c r="BW86" i="8"/>
  <c r="CC86" i="8" s="1"/>
  <c r="BS86" i="8"/>
  <c r="BO86" i="8"/>
  <c r="BM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CZ89" i="5"/>
  <c r="BZ86" i="8"/>
  <c r="CA86" i="8"/>
  <c r="CQ86" i="8" s="1"/>
  <c r="BX86" i="8"/>
  <c r="BY86" i="8"/>
  <c r="CG86" i="8"/>
  <c r="CW86" i="8" s="1"/>
  <c r="CB86" i="8"/>
  <c r="CS86" i="8" s="1"/>
  <c r="CT86" i="8" s="1"/>
  <c r="C88" i="5"/>
  <c r="F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BJ87" i="8" l="1"/>
  <c r="BL87" i="8"/>
  <c r="BP87" i="8"/>
  <c r="BN87" i="8"/>
  <c r="AE99" i="9"/>
  <c r="AW88" i="5"/>
  <c r="AB87" i="2"/>
  <c r="G93" i="8"/>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N87" i="7"/>
  <c r="BI87" i="8"/>
  <c r="AO87" i="5"/>
  <c r="AV88" i="5"/>
  <c r="BK87" i="8"/>
  <c r="BP91" i="5" a="1"/>
  <c r="BP91" i="5" s="1"/>
  <c r="J91" i="2"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T88" i="5"/>
  <c r="A88" i="10"/>
  <c r="AA88" i="10" s="1"/>
  <c r="B88" i="7"/>
  <c r="CZ90" i="5"/>
  <c r="AR86" i="5"/>
  <c r="AQ86" i="5"/>
  <c r="B86" i="14"/>
  <c r="CY86" i="8"/>
  <c r="C89" i="5"/>
  <c r="F89" i="5" s="1"/>
  <c r="CO86" i="8"/>
  <c r="AB90" i="1"/>
  <c r="DI90" i="5"/>
  <c r="AC89" i="1"/>
  <c r="DA89" i="5"/>
  <c r="DG89" i="5" s="1" a="1"/>
  <c r="DG89" i="5" s="1"/>
  <c r="AF99" i="9"/>
  <c r="AJ99" i="9"/>
  <c r="AF1269" i="14"/>
  <c r="AF1270" i="14" s="1"/>
  <c r="N75" i="1"/>
  <c r="S92" i="2"/>
  <c r="N93" i="2"/>
  <c r="R93" i="2"/>
  <c r="Q92" i="2"/>
  <c r="J94" i="10"/>
  <c r="N94" i="5" s="1"/>
  <c r="M93" i="2"/>
  <c r="P94" i="2"/>
  <c r="BJ88" i="8" l="1"/>
  <c r="BL88" i="8"/>
  <c r="BP88" i="8"/>
  <c r="BN88" i="8"/>
  <c r="AW89" i="5"/>
  <c r="AB88" i="2"/>
  <c r="AE100" i="9"/>
  <c r="G94" i="8"/>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J92" i="2" s="1"/>
  <c r="O97" i="1"/>
  <c r="CD87" i="8"/>
  <c r="CU87" i="8" s="1"/>
  <c r="CV87" i="8" s="1"/>
  <c r="BS88" i="8"/>
  <c r="BO88" i="8"/>
  <c r="BM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T89" i="5"/>
  <c r="AJ89" i="5"/>
  <c r="AP89" i="5" s="1"/>
  <c r="X89" i="8"/>
  <c r="DA89" i="8" s="1"/>
  <c r="E89" i="1"/>
  <c r="AI89" i="5"/>
  <c r="AB87" i="11"/>
  <c r="Q87" i="8" s="1"/>
  <c r="AC87" i="11"/>
  <c r="U87" i="8" s="1"/>
  <c r="AD87" i="11"/>
  <c r="AI87" i="1" s="1"/>
  <c r="Y87" i="11"/>
  <c r="AH87" i="1" s="1"/>
  <c r="Z87" i="11"/>
  <c r="N88" i="11"/>
  <c r="AA87" i="11"/>
  <c r="AK87" i="1" s="1"/>
  <c r="C90" i="5"/>
  <c r="F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BJ89" i="8" l="1"/>
  <c r="BL89" i="8"/>
  <c r="BP89" i="8"/>
  <c r="BN89" i="8"/>
  <c r="AE101" i="9"/>
  <c r="AW90" i="5"/>
  <c r="AB89" i="2"/>
  <c r="G95" i="8"/>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J93" i="2" s="1"/>
  <c r="AG88" i="7"/>
  <c r="AI88" i="7" s="1"/>
  <c r="O98" i="1"/>
  <c r="BW89" i="8"/>
  <c r="CD89" i="8" s="1"/>
  <c r="BS89" i="8"/>
  <c r="BO89" i="8"/>
  <c r="BM89" i="8"/>
  <c r="AN89" i="5"/>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B88" i="14"/>
  <c r="CZ92" i="5"/>
  <c r="AE89" i="7"/>
  <c r="AF89" i="7" s="1"/>
  <c r="Q89" i="7"/>
  <c r="CH89" i="8"/>
  <c r="CX89" i="8" s="1"/>
  <c r="BT90" i="5"/>
  <c r="AC90" i="8"/>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BJ90" i="8" l="1"/>
  <c r="BL90" i="8"/>
  <c r="BN90" i="8"/>
  <c r="BP90" i="8"/>
  <c r="AW91" i="5"/>
  <c r="AB90" i="2"/>
  <c r="AE102" i="9"/>
  <c r="G96" i="8"/>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C89" i="8"/>
  <c r="BS90" i="8"/>
  <c r="BO90" i="8"/>
  <c r="BM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E90" i="7"/>
  <c r="AF90" i="7" s="1"/>
  <c r="Q90" i="7"/>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BJ91" i="8" l="1"/>
  <c r="BL91" i="8"/>
  <c r="BN91" i="8"/>
  <c r="BP91" i="8"/>
  <c r="AW92" i="5"/>
  <c r="AB91" i="2"/>
  <c r="AE103" i="9"/>
  <c r="G97" i="8"/>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J95" i="2" s="1"/>
  <c r="AG91" i="7"/>
  <c r="AI91" i="7" s="1"/>
  <c r="AG90" i="7"/>
  <c r="AI90" i="7" s="1"/>
  <c r="O100" i="1"/>
  <c r="BW91" i="8"/>
  <c r="CC91" i="8" s="1"/>
  <c r="BS91" i="8"/>
  <c r="BO91" i="8"/>
  <c r="BM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A92" i="10"/>
  <c r="AA92" i="10" s="1"/>
  <c r="CY90" i="8"/>
  <c r="AR90" i="5"/>
  <c r="AJ92" i="5"/>
  <c r="AP92" i="5" s="1"/>
  <c r="X92" i="8"/>
  <c r="DA92" i="8" s="1"/>
  <c r="E92" i="1"/>
  <c r="CO90" i="8"/>
  <c r="B90" i="14"/>
  <c r="CZ94" i="5"/>
  <c r="AQ90" i="5"/>
  <c r="AB94" i="1"/>
  <c r="DI94" i="5"/>
  <c r="C94" i="5"/>
  <c r="AC93" i="1"/>
  <c r="DA93" i="5"/>
  <c r="DG93" i="5" s="1" a="1"/>
  <c r="DG93" i="5" s="1"/>
  <c r="AF103" i="9"/>
  <c r="AJ103" i="9"/>
  <c r="N79" i="1"/>
  <c r="S96" i="2"/>
  <c r="N97" i="2"/>
  <c r="R97" i="2"/>
  <c r="Q96" i="2"/>
  <c r="M97" i="2"/>
  <c r="J98" i="10"/>
  <c r="N98" i="5" s="1"/>
  <c r="P98" i="2"/>
  <c r="BJ92" i="8" l="1"/>
  <c r="BL92" i="8"/>
  <c r="BN92" i="8"/>
  <c r="BP92" i="8"/>
  <c r="AW93" i="5"/>
  <c r="AB92" i="2"/>
  <c r="AE104" i="9"/>
  <c r="G98" i="8"/>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J96" i="2" s="1"/>
  <c r="O101" i="1"/>
  <c r="CD91" i="8"/>
  <c r="CU91" i="8" s="1"/>
  <c r="CV91" i="8" s="1"/>
  <c r="BW92" i="8"/>
  <c r="CD92" i="8" s="1"/>
  <c r="BS92" i="8"/>
  <c r="BO92" i="8"/>
  <c r="BM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H93" i="8"/>
  <c r="AR91" i="5"/>
  <c r="AQ91" i="5"/>
  <c r="F94" i="5"/>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AC94" i="1"/>
  <c r="DA94" i="5"/>
  <c r="DG94" i="5" s="1" a="1"/>
  <c r="DG94" i="5" s="1"/>
  <c r="AB95" i="1"/>
  <c r="DI95" i="5"/>
  <c r="AF104" i="9"/>
  <c r="AJ104" i="9"/>
  <c r="N80" i="1"/>
  <c r="S97" i="2"/>
  <c r="N98" i="2"/>
  <c r="R98" i="2"/>
  <c r="Q97" i="2"/>
  <c r="M98" i="2"/>
  <c r="J99" i="10"/>
  <c r="N99" i="5" s="1"/>
  <c r="P99" i="2"/>
  <c r="BJ93" i="8" l="1"/>
  <c r="BL93" i="8"/>
  <c r="BN93" i="8"/>
  <c r="BP93" i="8"/>
  <c r="AW94" i="5"/>
  <c r="AB93" i="2"/>
  <c r="AE105" i="9"/>
  <c r="G99" i="8"/>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J97" i="2" s="1"/>
  <c r="B94" i="7"/>
  <c r="AE94" i="7" s="1"/>
  <c r="AF94" i="7" s="1"/>
  <c r="AG93" i="7"/>
  <c r="AI93" i="7" s="1"/>
  <c r="AG92" i="7"/>
  <c r="AI92" i="7" s="1"/>
  <c r="O102" i="1"/>
  <c r="CC92" i="8"/>
  <c r="BW93" i="8"/>
  <c r="CD93" i="8" s="1"/>
  <c r="BS93" i="8"/>
  <c r="BO93" i="8"/>
  <c r="BM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C95" i="5"/>
  <c r="F95" i="5" s="1"/>
  <c r="CZ96" i="5"/>
  <c r="AB96" i="1"/>
  <c r="DI96" i="5"/>
  <c r="C96" i="5"/>
  <c r="AC95" i="1"/>
  <c r="DA95" i="5"/>
  <c r="DG95" i="5" s="1" a="1"/>
  <c r="DG95" i="5" s="1"/>
  <c r="AF105" i="9"/>
  <c r="AJ105" i="9"/>
  <c r="AD1269" i="14"/>
  <c r="AD1270" i="14" s="1"/>
  <c r="N81" i="1"/>
  <c r="S98" i="2"/>
  <c r="N99" i="2"/>
  <c r="R99" i="2"/>
  <c r="Q98" i="2"/>
  <c r="J100" i="10"/>
  <c r="N100" i="5" s="1"/>
  <c r="P100" i="2"/>
  <c r="M99" i="2"/>
  <c r="BJ94" i="8" l="1"/>
  <c r="BL94" i="8"/>
  <c r="BN94" i="8"/>
  <c r="BP94" i="8"/>
  <c r="AW95" i="5"/>
  <c r="AB94" i="2"/>
  <c r="AE106" i="9"/>
  <c r="G100" i="8"/>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J98" i="2" s="1"/>
  <c r="AG94" i="7"/>
  <c r="AI94" i="7" s="1"/>
  <c r="O103" i="1"/>
  <c r="CC93" i="8"/>
  <c r="BW94" i="8"/>
  <c r="CD94" i="8" s="1"/>
  <c r="BS94" i="8"/>
  <c r="BO94" i="8"/>
  <c r="BM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E95" i="1"/>
  <c r="BT95" i="5"/>
  <c r="A95" i="11"/>
  <c r="X95" i="8"/>
  <c r="DA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M100" i="2"/>
  <c r="P101" i="2"/>
  <c r="J101" i="10"/>
  <c r="N101" i="5" s="1"/>
  <c r="BJ95" i="8" l="1"/>
  <c r="BL95" i="8"/>
  <c r="BP95" i="8"/>
  <c r="BN95" i="8"/>
  <c r="AE107" i="9"/>
  <c r="AW96" i="5"/>
  <c r="AB95" i="2"/>
  <c r="G101" i="8"/>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J99" i="2" s="1"/>
  <c r="AJ96" i="5"/>
  <c r="AP96" i="5" s="1"/>
  <c r="O104" i="1"/>
  <c r="AN95" i="5"/>
  <c r="CC94" i="8"/>
  <c r="P94" i="8" s="1"/>
  <c r="BW95" i="8"/>
  <c r="CC95" i="8" s="1"/>
  <c r="BS95" i="8"/>
  <c r="BO95" i="8"/>
  <c r="BM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H96" i="8"/>
  <c r="BV96" i="8"/>
  <c r="CA96" i="8" s="1"/>
  <c r="CQ96" i="8" s="1"/>
  <c r="B96" i="9"/>
  <c r="X96" i="9" s="1"/>
  <c r="X96" i="8"/>
  <c r="DA96" i="8" s="1"/>
  <c r="BG96" i="8"/>
  <c r="BT96" i="8" s="1"/>
  <c r="BT96" i="5"/>
  <c r="F97" i="5"/>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M101" i="2"/>
  <c r="P102" i="2"/>
  <c r="BJ96" i="8" l="1"/>
  <c r="BL96" i="8"/>
  <c r="BP96" i="8"/>
  <c r="BN96" i="8"/>
  <c r="AW97" i="5"/>
  <c r="AB96" i="2"/>
  <c r="AE108" i="9"/>
  <c r="G102" i="8"/>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J100" i="2" s="1"/>
  <c r="AG95" i="7"/>
  <c r="AI95" i="7" s="1"/>
  <c r="O105" i="1"/>
  <c r="CU94" i="8"/>
  <c r="CV94" i="8" s="1"/>
  <c r="CD95" i="8"/>
  <c r="CU95" i="8" s="1"/>
  <c r="CV95" i="8" s="1"/>
  <c r="BW96" i="8"/>
  <c r="CC96" i="8" s="1"/>
  <c r="BS96" i="8"/>
  <c r="BO96" i="8"/>
  <c r="BM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97" i="7"/>
  <c r="AE97" i="7" s="1"/>
  <c r="AF97" i="7" s="1"/>
  <c r="DE97" i="8"/>
  <c r="DF97" i="8" s="1"/>
  <c r="CJ97" i="8"/>
  <c r="BG97" i="8"/>
  <c r="BT97" i="8" s="1"/>
  <c r="F98" i="5"/>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M102" i="2"/>
  <c r="BJ97" i="8" l="1"/>
  <c r="BL97" i="8"/>
  <c r="BP97" i="8"/>
  <c r="BN97" i="8"/>
  <c r="AW98" i="5"/>
  <c r="AB97" i="2"/>
  <c r="AE109" i="9"/>
  <c r="G103" i="8"/>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J101" i="2" s="1"/>
  <c r="AG97" i="7"/>
  <c r="AI97" i="7" s="1"/>
  <c r="AG96" i="7"/>
  <c r="AI96" i="7" s="1"/>
  <c r="O106" i="1"/>
  <c r="CD96" i="8"/>
  <c r="CU96" i="8" s="1"/>
  <c r="CV96" i="8" s="1"/>
  <c r="BW97" i="8"/>
  <c r="CD97" i="8" s="1"/>
  <c r="BS97" i="8"/>
  <c r="BO97" i="8"/>
  <c r="BM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CZ100" i="5"/>
  <c r="C99" i="5"/>
  <c r="F99" i="5" s="1"/>
  <c r="AB100" i="1"/>
  <c r="DI100" i="5"/>
  <c r="C100" i="5"/>
  <c r="AC99" i="1"/>
  <c r="DA99" i="5"/>
  <c r="DG99" i="5" s="1" a="1"/>
  <c r="DG99" i="5" s="1"/>
  <c r="AF109" i="9"/>
  <c r="AJ109" i="9"/>
  <c r="N85" i="1"/>
  <c r="S102" i="2"/>
  <c r="N103" i="2"/>
  <c r="R103" i="2"/>
  <c r="Q102" i="2"/>
  <c r="J104" i="10"/>
  <c r="N104" i="5" s="1"/>
  <c r="M103" i="2"/>
  <c r="P104" i="2"/>
  <c r="BJ98" i="8" l="1"/>
  <c r="BL98" i="8"/>
  <c r="BP98" i="8"/>
  <c r="BN98" i="8"/>
  <c r="AW99" i="5"/>
  <c r="AB98" i="2"/>
  <c r="AE110" i="9"/>
  <c r="G104" i="8"/>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J102" i="2" s="1"/>
  <c r="O107" i="1"/>
  <c r="CC97" i="8"/>
  <c r="BW98" i="8"/>
  <c r="CD98" i="8" s="1"/>
  <c r="BS98" i="8"/>
  <c r="BO98" i="8"/>
  <c r="BM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T99" i="5"/>
  <c r="AJ99" i="5"/>
  <c r="AP99" i="5" s="1"/>
  <c r="A99" i="10"/>
  <c r="AA99" i="10" s="1"/>
  <c r="B99" i="7"/>
  <c r="X99" i="8"/>
  <c r="DA99" i="8" s="1"/>
  <c r="E99" i="1"/>
  <c r="A99" i="11"/>
  <c r="AI99" i="5"/>
  <c r="B99" i="9"/>
  <c r="X99" i="9" s="1"/>
  <c r="AC100" i="1"/>
  <c r="DA100" i="5"/>
  <c r="DG100" i="5" s="1" a="1"/>
  <c r="DG100" i="5" s="1"/>
  <c r="AB101" i="1"/>
  <c r="DI101" i="5"/>
  <c r="AF110" i="9"/>
  <c r="AJ110" i="9"/>
  <c r="N86" i="1"/>
  <c r="S103" i="2"/>
  <c r="N104" i="2"/>
  <c r="R104" i="2"/>
  <c r="Q103" i="2"/>
  <c r="J105" i="10"/>
  <c r="N105" i="5" s="1"/>
  <c r="M104" i="2"/>
  <c r="P105" i="2"/>
  <c r="BJ99" i="8" l="1"/>
  <c r="BL99" i="8"/>
  <c r="BP99" i="8"/>
  <c r="BN99" i="8"/>
  <c r="AW100" i="5"/>
  <c r="AB99" i="2"/>
  <c r="AE111" i="9"/>
  <c r="G105" i="8"/>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J103" i="2" s="1"/>
  <c r="DE100" i="8"/>
  <c r="DF100" i="8" s="1"/>
  <c r="AG98" i="7"/>
  <c r="AI98" i="7" s="1"/>
  <c r="O108" i="1"/>
  <c r="CC98" i="8"/>
  <c r="BS99" i="8"/>
  <c r="BT99" i="8"/>
  <c r="BO99" i="8"/>
  <c r="BM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CB99" i="8"/>
  <c r="CS99" i="8" s="1"/>
  <c r="CT99" i="8" s="1"/>
  <c r="BZ99" i="8"/>
  <c r="CA99" i="8"/>
  <c r="CQ99" i="8" s="1"/>
  <c r="CG99" i="8"/>
  <c r="CW99" i="8" s="1"/>
  <c r="BX99" i="8"/>
  <c r="BY99" i="8"/>
  <c r="CH99" i="8"/>
  <c r="CX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BJ100" i="8" l="1"/>
  <c r="BL100" i="8"/>
  <c r="BP100" i="8"/>
  <c r="BN100" i="8"/>
  <c r="AW101" i="5"/>
  <c r="AB100" i="2"/>
  <c r="AE112" i="9"/>
  <c r="G106" i="8"/>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J104" i="2" s="1"/>
  <c r="AG100" i="7"/>
  <c r="AI100" i="7" s="1"/>
  <c r="AG99" i="7"/>
  <c r="AI99" i="7" s="1"/>
  <c r="O109" i="1"/>
  <c r="BW100" i="8"/>
  <c r="CD100" i="8" s="1"/>
  <c r="BS100" i="8"/>
  <c r="BO100" i="8"/>
  <c r="BM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AJ101" i="5"/>
  <c r="AP101" i="5" s="1"/>
  <c r="A101" i="11"/>
  <c r="CO99" i="8"/>
  <c r="B101" i="9"/>
  <c r="X101" i="9" s="1"/>
  <c r="CZ103" i="5"/>
  <c r="AR99" i="5"/>
  <c r="CY99" i="8"/>
  <c r="B99" i="14"/>
  <c r="AQ99" i="5"/>
  <c r="AC102" i="1"/>
  <c r="DA102" i="5"/>
  <c r="DG102" i="5" s="1" a="1"/>
  <c r="DG102" i="5" s="1"/>
  <c r="AB103" i="1"/>
  <c r="DI103" i="5"/>
  <c r="AF112" i="9"/>
  <c r="AJ112" i="9"/>
  <c r="N88" i="1"/>
  <c r="S105" i="2"/>
  <c r="N106" i="2"/>
  <c r="R106" i="2"/>
  <c r="Q105" i="2"/>
  <c r="P107" i="2"/>
  <c r="M106" i="2"/>
  <c r="J107" i="10"/>
  <c r="N107" i="5" s="1"/>
  <c r="BJ101" i="8" l="1"/>
  <c r="BL101" i="8"/>
  <c r="BP101" i="8"/>
  <c r="BN101" i="8"/>
  <c r="AW102" i="5"/>
  <c r="AB101" i="2"/>
  <c r="AE113" i="9"/>
  <c r="G107" i="8"/>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J105" i="2" s="1"/>
  <c r="O110" i="1"/>
  <c r="CC100" i="8"/>
  <c r="BS101" i="8"/>
  <c r="BO101" i="8"/>
  <c r="BM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CZ104" i="5"/>
  <c r="AB104" i="1"/>
  <c r="DI104" i="5"/>
  <c r="C104" i="5"/>
  <c r="AC103" i="1"/>
  <c r="DA103" i="5"/>
  <c r="DG103" i="5" s="1" a="1"/>
  <c r="DG103" i="5" s="1"/>
  <c r="AF113" i="9"/>
  <c r="AJ113" i="9"/>
  <c r="N89" i="1"/>
  <c r="S106" i="2"/>
  <c r="N107" i="2"/>
  <c r="R107" i="2"/>
  <c r="Q106" i="2"/>
  <c r="M107" i="2"/>
  <c r="J108" i="10"/>
  <c r="N108" i="5" s="1"/>
  <c r="P108" i="2"/>
  <c r="BJ102" i="8" l="1"/>
  <c r="BL102" i="8"/>
  <c r="BP102" i="8"/>
  <c r="BN102" i="8"/>
  <c r="AW103" i="5"/>
  <c r="AB102" i="2"/>
  <c r="AE114" i="9"/>
  <c r="BG107" i="5"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J106" i="2" s="1"/>
  <c r="AG101" i="7"/>
  <c r="AI101" i="7" s="1"/>
  <c r="AG102" i="7"/>
  <c r="AI102" i="7" s="1"/>
  <c r="O111" i="1"/>
  <c r="BW102" i="8"/>
  <c r="CD102" i="8" s="1"/>
  <c r="BS102" i="8"/>
  <c r="BO102" i="8"/>
  <c r="BM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T103" i="5"/>
  <c r="A103" i="10"/>
  <c r="AA103" i="10" s="1"/>
  <c r="B103" i="7"/>
  <c r="CZ105" i="5"/>
  <c r="C105" i="5"/>
  <c r="AC104" i="1"/>
  <c r="DA104" i="5"/>
  <c r="DG104" i="5" s="1" a="1"/>
  <c r="DG104" i="5" s="1"/>
  <c r="AB105" i="1"/>
  <c r="DI105" i="5"/>
  <c r="AF114" i="9"/>
  <c r="AJ114" i="9"/>
  <c r="N90" i="1"/>
  <c r="S107" i="2"/>
  <c r="N108" i="2"/>
  <c r="R108" i="2"/>
  <c r="Q107" i="2"/>
  <c r="M108" i="2"/>
  <c r="J109" i="10"/>
  <c r="N109" i="5" s="1"/>
  <c r="P109" i="2"/>
  <c r="BJ103" i="8" l="1"/>
  <c r="BL103" i="8"/>
  <c r="BP103" i="8"/>
  <c r="BN103" i="8"/>
  <c r="AE115" i="9"/>
  <c r="AW104" i="5"/>
  <c r="AB103" i="2"/>
  <c r="G109" i="8"/>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J107" i="2" s="1"/>
  <c r="DE104" i="8"/>
  <c r="DF104" i="8" s="1"/>
  <c r="O112" i="1"/>
  <c r="CC102" i="8"/>
  <c r="BW103" i="8"/>
  <c r="CC103" i="8" s="1"/>
  <c r="BS103" i="8"/>
  <c r="BO103" i="8"/>
  <c r="BM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G104" i="8"/>
  <c r="BT104" i="8" s="1"/>
  <c r="BV104" i="8"/>
  <c r="CA104" i="8" s="1"/>
  <c r="CQ104" i="8" s="1"/>
  <c r="E104" i="1"/>
  <c r="A104" i="11"/>
  <c r="N104" i="11" s="1"/>
  <c r="AQ102" i="5"/>
  <c r="F105" i="5"/>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AB106" i="1"/>
  <c r="DI106" i="5"/>
  <c r="C106" i="5"/>
  <c r="AC105" i="1"/>
  <c r="DA105" i="5"/>
  <c r="DG105" i="5" s="1" a="1"/>
  <c r="DG105" i="5" s="1"/>
  <c r="AF115" i="9"/>
  <c r="AJ115" i="9"/>
  <c r="N91" i="1"/>
  <c r="S108" i="2"/>
  <c r="N109" i="2"/>
  <c r="R109" i="2"/>
  <c r="Q108" i="2"/>
  <c r="M109" i="2"/>
  <c r="P110" i="2"/>
  <c r="J110" i="10"/>
  <c r="N110" i="5" s="1"/>
  <c r="BJ104" i="8" l="1"/>
  <c r="BL104" i="8"/>
  <c r="BP104" i="8"/>
  <c r="BN104" i="8"/>
  <c r="AW105" i="5"/>
  <c r="AB104" i="2"/>
  <c r="AE116" i="9"/>
  <c r="BH109" i="5"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J108" i="2" s="1"/>
  <c r="AG103" i="7"/>
  <c r="AI103" i="7" s="1"/>
  <c r="O113" i="1"/>
  <c r="CD103" i="8"/>
  <c r="CU103" i="8" s="1"/>
  <c r="CV103" i="8" s="1"/>
  <c r="BW104" i="8"/>
  <c r="CC104" i="8" s="1"/>
  <c r="BS104" i="8"/>
  <c r="BO104" i="8"/>
  <c r="BM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G104" i="8"/>
  <c r="CW104" i="8" s="1"/>
  <c r="D105" i="9"/>
  <c r="N104" i="7"/>
  <c r="AC105" i="8"/>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CY103" i="8"/>
  <c r="CO103" i="8"/>
  <c r="B103" i="14"/>
  <c r="CZ107" i="5"/>
  <c r="C107" i="5"/>
  <c r="AC106" i="1"/>
  <c r="DA106" i="5"/>
  <c r="DG106" i="5" s="1" a="1"/>
  <c r="DG106" i="5" s="1"/>
  <c r="AB107" i="1"/>
  <c r="DI107" i="5"/>
  <c r="AF116" i="9"/>
  <c r="AJ116" i="9"/>
  <c r="N92" i="1"/>
  <c r="S109" i="2"/>
  <c r="N110" i="2"/>
  <c r="R110" i="2"/>
  <c r="Q109" i="2"/>
  <c r="P111" i="2"/>
  <c r="J111" i="10"/>
  <c r="N111" i="5" s="1"/>
  <c r="M110" i="2"/>
  <c r="BJ105" i="8" l="1"/>
  <c r="BL105" i="8"/>
  <c r="BP105" i="8"/>
  <c r="BN105" i="8"/>
  <c r="AW106" i="5"/>
  <c r="AB105" i="2"/>
  <c r="AE117" i="9"/>
  <c r="BJ110" i="5"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J109" i="2" s="1"/>
  <c r="A106" i="10"/>
  <c r="AA106" i="10" s="1"/>
  <c r="AG105" i="7"/>
  <c r="AI105" i="7" s="1"/>
  <c r="AG104" i="7"/>
  <c r="AI104" i="7" s="1"/>
  <c r="O114" i="1"/>
  <c r="CD104" i="8"/>
  <c r="CU104" i="8" s="1"/>
  <c r="CV104" i="8" s="1"/>
  <c r="BW105" i="8"/>
  <c r="CC105" i="8" s="1"/>
  <c r="BS105" i="8"/>
  <c r="BO105" i="8"/>
  <c r="BM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CZ108" i="5"/>
  <c r="AB108" i="1"/>
  <c r="DI108" i="5"/>
  <c r="C108" i="5"/>
  <c r="AC107" i="1"/>
  <c r="DA107" i="5"/>
  <c r="DG107" i="5" s="1" a="1"/>
  <c r="DG107" i="5" s="1"/>
  <c r="AF117" i="9"/>
  <c r="AJ117" i="9"/>
  <c r="N93" i="1"/>
  <c r="S110" i="2"/>
  <c r="N111" i="2"/>
  <c r="R111" i="2"/>
  <c r="Q110" i="2"/>
  <c r="J112" i="10"/>
  <c r="N112" i="5" s="1"/>
  <c r="P112" i="2"/>
  <c r="M111" i="2"/>
  <c r="BJ106" i="8" l="1"/>
  <c r="BL106" i="8"/>
  <c r="BN106" i="8"/>
  <c r="BP106" i="8"/>
  <c r="AW107" i="5"/>
  <c r="AB106" i="2"/>
  <c r="AE118" i="9"/>
  <c r="G112" i="8"/>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J110" i="2" s="1"/>
  <c r="BH107" i="8"/>
  <c r="AG106" i="7"/>
  <c r="AI106" i="7" s="1"/>
  <c r="O115" i="1"/>
  <c r="CD105" i="8"/>
  <c r="CU105" i="8" s="1"/>
  <c r="CV105" i="8" s="1"/>
  <c r="BW106" i="8"/>
  <c r="CD106" i="8" s="1"/>
  <c r="BS106" i="8"/>
  <c r="BO106" i="8"/>
  <c r="BM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CJ107" i="8"/>
  <c r="A107" i="11"/>
  <c r="AD106" i="11" s="1"/>
  <c r="AI106" i="1" s="1"/>
  <c r="E107" i="1"/>
  <c r="F108" i="5"/>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AC108" i="1"/>
  <c r="DA108" i="5"/>
  <c r="DG108" i="5" s="1" a="1"/>
  <c r="DG108" i="5" s="1"/>
  <c r="AB109" i="1"/>
  <c r="DI109" i="5"/>
  <c r="AF118" i="9"/>
  <c r="AJ118" i="9"/>
  <c r="N94" i="1"/>
  <c r="S111" i="2"/>
  <c r="N112" i="2"/>
  <c r="R112" i="2"/>
  <c r="Q111" i="2"/>
  <c r="M112" i="2"/>
  <c r="P113" i="2"/>
  <c r="J113" i="10"/>
  <c r="N113" i="5" s="1"/>
  <c r="BJ107" i="8" l="1"/>
  <c r="BL107" i="8"/>
  <c r="BN107" i="8"/>
  <c r="BP107" i="8"/>
  <c r="AW108" i="5"/>
  <c r="AB107" i="2"/>
  <c r="AE119" i="9"/>
  <c r="G113" i="8"/>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J111" i="2" s="1"/>
  <c r="AG107" i="7"/>
  <c r="AI107" i="7" s="1"/>
  <c r="O116" i="1"/>
  <c r="AR106" i="5"/>
  <c r="CC106" i="8"/>
  <c r="BW107" i="8"/>
  <c r="CC107" i="8" s="1"/>
  <c r="BS107" i="8"/>
  <c r="BO107" i="8"/>
  <c r="BM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CZ110" i="5"/>
  <c r="C109" i="5"/>
  <c r="F109" i="5" s="1"/>
  <c r="AB110" i="1"/>
  <c r="DI110" i="5"/>
  <c r="AC109" i="1"/>
  <c r="DA109" i="5"/>
  <c r="DG109" i="5" s="1" a="1"/>
  <c r="DG109" i="5" s="1"/>
  <c r="AF119" i="9"/>
  <c r="AJ119" i="9"/>
  <c r="N95" i="1"/>
  <c r="S112" i="2"/>
  <c r="N113" i="2"/>
  <c r="R113" i="2"/>
  <c r="Q112" i="2"/>
  <c r="J114" i="10"/>
  <c r="N114" i="5" s="1"/>
  <c r="M113" i="2"/>
  <c r="P114" i="2"/>
  <c r="BJ108" i="8" l="1"/>
  <c r="BL108" i="8"/>
  <c r="BN108" i="8"/>
  <c r="BP108" i="8"/>
  <c r="AE120" i="9"/>
  <c r="AW109" i="5"/>
  <c r="AB108" i="2"/>
  <c r="G114" i="8"/>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J112" i="2" s="1"/>
  <c r="AG108" i="7"/>
  <c r="AI108" i="7" s="1"/>
  <c r="O117" i="1"/>
  <c r="CD107" i="8"/>
  <c r="CU107" i="8" s="1"/>
  <c r="CV107" i="8" s="1"/>
  <c r="BS108" i="8"/>
  <c r="BO108" i="8"/>
  <c r="BM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C110" i="5"/>
  <c r="F110" i="5" s="1"/>
  <c r="AC110" i="1"/>
  <c r="DA110" i="5"/>
  <c r="DG110" i="5" s="1" a="1"/>
  <c r="DG110" i="5" s="1"/>
  <c r="AB111" i="1"/>
  <c r="DI111" i="5"/>
  <c r="AF120" i="9"/>
  <c r="AJ120" i="9"/>
  <c r="N96" i="1"/>
  <c r="S113" i="2"/>
  <c r="N114" i="2"/>
  <c r="R114" i="2"/>
  <c r="Q113" i="2"/>
  <c r="M114" i="2"/>
  <c r="J115" i="10"/>
  <c r="N115" i="5" s="1"/>
  <c r="P115" i="2"/>
  <c r="BJ109" i="8" l="1"/>
  <c r="BL109" i="8"/>
  <c r="BN109" i="8"/>
  <c r="BP109" i="8"/>
  <c r="AW110" i="5"/>
  <c r="AB109" i="2"/>
  <c r="AE121" i="9"/>
  <c r="G115" i="8"/>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J113" i="2" s="1"/>
  <c r="O118" i="1"/>
  <c r="BW109" i="8"/>
  <c r="CC109" i="8" s="1"/>
  <c r="BS109" i="8"/>
  <c r="BO109" i="8"/>
  <c r="BM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CH109" i="8"/>
  <c r="CX109" i="8" s="1"/>
  <c r="AE109" i="7"/>
  <c r="AF109" i="7" s="1"/>
  <c r="Q109" i="7"/>
  <c r="C111" i="5"/>
  <c r="F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BJ110" i="8" l="1"/>
  <c r="BL110" i="8"/>
  <c r="BN110" i="8"/>
  <c r="BP110" i="8"/>
  <c r="AW111" i="5"/>
  <c r="AB110" i="2"/>
  <c r="AE122" i="9"/>
  <c r="G116" i="8"/>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J114" i="2" s="1"/>
  <c r="AG109" i="7"/>
  <c r="AI109" i="7" s="1"/>
  <c r="O119" i="1"/>
  <c r="CD109" i="8"/>
  <c r="CU109" i="8" s="1"/>
  <c r="CV109" i="8" s="1"/>
  <c r="BS110" i="8"/>
  <c r="BO110" i="8"/>
  <c r="BM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CZ113" i="5"/>
  <c r="AJ111" i="5"/>
  <c r="AP111" i="5" s="1"/>
  <c r="X111" i="8"/>
  <c r="DA111" i="8" s="1"/>
  <c r="E111" i="1"/>
  <c r="B111" i="9"/>
  <c r="X111" i="9" s="1"/>
  <c r="AI111" i="5"/>
  <c r="A111" i="11"/>
  <c r="AC111" i="8"/>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BJ111" i="8" l="1"/>
  <c r="BL111" i="8"/>
  <c r="BP111" i="8"/>
  <c r="BN111" i="8"/>
  <c r="AW112" i="5"/>
  <c r="AB111" i="2"/>
  <c r="AE123" i="9"/>
  <c r="G117" i="8"/>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W111" i="8"/>
  <c r="CC111" i="8" s="1"/>
  <c r="BS111" i="8"/>
  <c r="BO111" i="8"/>
  <c r="BM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Q110" i="5"/>
  <c r="AA110" i="11"/>
  <c r="AK110" i="1" s="1"/>
  <c r="Z110" i="11"/>
  <c r="AC110" i="11"/>
  <c r="U110" i="8" s="1"/>
  <c r="AD110" i="11"/>
  <c r="AI110" i="1" s="1"/>
  <c r="Y110" i="11"/>
  <c r="AH110" i="1" s="1"/>
  <c r="N111" i="11"/>
  <c r="AB110" i="11"/>
  <c r="Q110" i="8" s="1"/>
  <c r="CH111" i="8"/>
  <c r="CX111" i="8" s="1"/>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J112" i="8" l="1"/>
  <c r="BL112" i="8"/>
  <c r="BP112" i="8"/>
  <c r="BN112" i="8"/>
  <c r="AW113" i="5"/>
  <c r="AB112" i="2"/>
  <c r="AE124" i="9"/>
  <c r="BI117" i="5"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J116" i="2" s="1"/>
  <c r="AG112" i="7"/>
  <c r="AI112" i="7" s="1"/>
  <c r="AG111" i="7"/>
  <c r="AI111" i="7" s="1"/>
  <c r="O121" i="1"/>
  <c r="CD111" i="8"/>
  <c r="CU111" i="8" s="1"/>
  <c r="CV111" i="8" s="1"/>
  <c r="BW112" i="8"/>
  <c r="CD112" i="8" s="1"/>
  <c r="BS112" i="8"/>
  <c r="BO112" i="8"/>
  <c r="BM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G113" i="8"/>
  <c r="BT113" i="8" s="1"/>
  <c r="AG124" i="9"/>
  <c r="B113" i="9"/>
  <c r="X113" i="9" s="1"/>
  <c r="AQ111" i="5"/>
  <c r="A113" i="10"/>
  <c r="AA113" i="10" s="1"/>
  <c r="BT113" i="5"/>
  <c r="A113" i="11"/>
  <c r="AI113" i="5"/>
  <c r="B113" i="7"/>
  <c r="AJ113" i="5"/>
  <c r="AP113" i="5" s="1"/>
  <c r="AR111" i="5"/>
  <c r="X113" i="8"/>
  <c r="DA113" i="8" s="1"/>
  <c r="E113" i="1"/>
  <c r="CY111" i="8"/>
  <c r="C114" i="5"/>
  <c r="F114" i="5" s="1"/>
  <c r="CZ115" i="5"/>
  <c r="CO111" i="8"/>
  <c r="B111" i="14"/>
  <c r="C115" i="5"/>
  <c r="AC114" i="1"/>
  <c r="DA114" i="5"/>
  <c r="DG114" i="5" s="1" a="1"/>
  <c r="DG114" i="5" s="1"/>
  <c r="AB115" i="1"/>
  <c r="DI115" i="5"/>
  <c r="AF124" i="9"/>
  <c r="AJ124" i="9"/>
  <c r="N100" i="1"/>
  <c r="S117" i="2"/>
  <c r="N118" i="2"/>
  <c r="R118" i="2"/>
  <c r="Q117" i="2"/>
  <c r="M118" i="2"/>
  <c r="P119" i="2"/>
  <c r="J119" i="10"/>
  <c r="N119" i="5" s="1"/>
  <c r="BJ113" i="8" l="1"/>
  <c r="BL113" i="8"/>
  <c r="BP113" i="8"/>
  <c r="BN113" i="8"/>
  <c r="AW114" i="5"/>
  <c r="AB113" i="2"/>
  <c r="AE125" i="9"/>
  <c r="G119" i="8"/>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J117" i="2" s="1"/>
  <c r="O122" i="1"/>
  <c r="CC112" i="8"/>
  <c r="BW113" i="8"/>
  <c r="CC113" i="8" s="1"/>
  <c r="BS113" i="8"/>
  <c r="BO113" i="8"/>
  <c r="BM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114" i="7"/>
  <c r="AJ114" i="5"/>
  <c r="AP114" i="5" s="1"/>
  <c r="A114" i="10"/>
  <c r="AA114" i="10" s="1"/>
  <c r="X114" i="8"/>
  <c r="DA114" i="8" s="1"/>
  <c r="A114" i="11"/>
  <c r="CZ116" i="5"/>
  <c r="AB116" i="1"/>
  <c r="DI116" i="5"/>
  <c r="C116" i="5"/>
  <c r="AC115" i="1"/>
  <c r="DA115" i="5"/>
  <c r="DG115" i="5" s="1" a="1"/>
  <c r="DG115" i="5" s="1"/>
  <c r="AF125" i="9"/>
  <c r="AJ125" i="9"/>
  <c r="N101" i="1"/>
  <c r="S118" i="2"/>
  <c r="N119" i="2"/>
  <c r="R119" i="2"/>
  <c r="Q118" i="2"/>
  <c r="J120" i="10"/>
  <c r="N120" i="5" s="1"/>
  <c r="P120" i="2"/>
  <c r="M119" i="2"/>
  <c r="BJ114" i="8" l="1"/>
  <c r="BL114" i="8"/>
  <c r="BN114" i="8"/>
  <c r="BP114" i="8"/>
  <c r="AW115" i="5"/>
  <c r="AB114" i="2"/>
  <c r="AE126" i="9"/>
  <c r="G120" i="8"/>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J118" i="2" s="1"/>
  <c r="BG115" i="8"/>
  <c r="BT115" i="8" s="1"/>
  <c r="AG113" i="7"/>
  <c r="AI113" i="7" s="1"/>
  <c r="O123" i="1"/>
  <c r="CD113" i="8"/>
  <c r="CU113" i="8" s="1"/>
  <c r="CV113" i="8" s="1"/>
  <c r="BS114" i="8"/>
  <c r="BO114" i="8"/>
  <c r="BM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T115" i="5"/>
  <c r="DE115" i="8"/>
  <c r="DF115" i="8" s="1"/>
  <c r="B115" i="9"/>
  <c r="X115" i="9" s="1"/>
  <c r="BH115" i="8"/>
  <c r="X115" i="8"/>
  <c r="DA115" i="8" s="1"/>
  <c r="F116" i="5"/>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M120" i="2"/>
  <c r="P121" i="2"/>
  <c r="J121" i="10"/>
  <c r="N121" i="5" s="1"/>
  <c r="BJ115" i="8" l="1"/>
  <c r="BL115" i="8"/>
  <c r="BP115" i="8"/>
  <c r="BN115" i="8"/>
  <c r="AW116" i="5"/>
  <c r="AB115" i="2"/>
  <c r="AE127" i="9"/>
  <c r="G121" i="8"/>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J119" i="2" s="1"/>
  <c r="AG114" i="7"/>
  <c r="AI114" i="7" s="1"/>
  <c r="AG115" i="7"/>
  <c r="AI115" i="7" s="1"/>
  <c r="O124" i="1"/>
  <c r="BO115" i="8"/>
  <c r="BM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AJ116" i="5"/>
  <c r="AP116" i="5" s="1"/>
  <c r="F117" i="5"/>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CZ118" i="5"/>
  <c r="AB118" i="1"/>
  <c r="DI118" i="5"/>
  <c r="AC117" i="1"/>
  <c r="DA117" i="5"/>
  <c r="DG117" i="5" s="1" a="1"/>
  <c r="DG117" i="5" s="1"/>
  <c r="AF127" i="9"/>
  <c r="AJ127" i="9"/>
  <c r="N103" i="1"/>
  <c r="S120" i="2"/>
  <c r="N121" i="2"/>
  <c r="R121" i="2"/>
  <c r="Q120" i="2"/>
  <c r="J122" i="10"/>
  <c r="N122" i="5" s="1"/>
  <c r="M121" i="2"/>
  <c r="P122" i="2"/>
  <c r="BJ116" i="8" l="1"/>
  <c r="BL116" i="8"/>
  <c r="BP116" i="8"/>
  <c r="BN116" i="8"/>
  <c r="AW117" i="5"/>
  <c r="AB116" i="2"/>
  <c r="AE128" i="9"/>
  <c r="G122" i="8"/>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J120" i="2" s="1"/>
  <c r="DE117" i="8"/>
  <c r="DF117" i="8" s="1"/>
  <c r="AG116" i="7"/>
  <c r="AI116" i="7" s="1"/>
  <c r="O125" i="1"/>
  <c r="BW116" i="8"/>
  <c r="CD116" i="8" s="1"/>
  <c r="BS116" i="8"/>
  <c r="BO116" i="8"/>
  <c r="BM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C118" i="5"/>
  <c r="F118" i="5" s="1"/>
  <c r="C119" i="5"/>
  <c r="AC118" i="1"/>
  <c r="DA118" i="5"/>
  <c r="DG118" i="5" s="1" a="1"/>
  <c r="DG118" i="5" s="1"/>
  <c r="AB119" i="1"/>
  <c r="DI119" i="5"/>
  <c r="AF128" i="9"/>
  <c r="AJ128" i="9"/>
  <c r="N104" i="1"/>
  <c r="S121" i="2"/>
  <c r="N122" i="2"/>
  <c r="R122" i="2"/>
  <c r="Q121" i="2"/>
  <c r="J123" i="10"/>
  <c r="N123" i="5" s="1"/>
  <c r="M122" i="2"/>
  <c r="P123" i="2"/>
  <c r="BJ117" i="8" l="1"/>
  <c r="BL117" i="8"/>
  <c r="BP117" i="8"/>
  <c r="BN117" i="8"/>
  <c r="AD120" i="1"/>
  <c r="AW118" i="5"/>
  <c r="AB117" i="2"/>
  <c r="AE129" i="9"/>
  <c r="G123" i="8"/>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J121" i="2" s="1"/>
  <c r="AG117" i="7"/>
  <c r="AI117" i="7" s="1"/>
  <c r="O126" i="1"/>
  <c r="CC116" i="8"/>
  <c r="BW117" i="8"/>
  <c r="CC117" i="8" s="1"/>
  <c r="BS117" i="8"/>
  <c r="BO117" i="8"/>
  <c r="BM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A118" i="10"/>
  <c r="AA118" i="10" s="1"/>
  <c r="B118" i="7"/>
  <c r="X118" i="8"/>
  <c r="DA118" i="8" s="1"/>
  <c r="E118" i="1"/>
  <c r="AJ118" i="5"/>
  <c r="AP118" i="5" s="1"/>
  <c r="B118" i="9"/>
  <c r="X118" i="9" s="1"/>
  <c r="AI118" i="5"/>
  <c r="A118" i="11"/>
  <c r="AC118" i="8"/>
  <c r="BT118" i="5"/>
  <c r="CZ120" i="5"/>
  <c r="AB120" i="1"/>
  <c r="DI120" i="5"/>
  <c r="AC119" i="1"/>
  <c r="DA119" i="5"/>
  <c r="DG119" i="5" s="1" a="1"/>
  <c r="DG119" i="5" s="1"/>
  <c r="AF129" i="9"/>
  <c r="AJ129" i="9"/>
  <c r="N105" i="1"/>
  <c r="S122" i="2"/>
  <c r="N123" i="2"/>
  <c r="R123" i="2"/>
  <c r="Q122" i="2"/>
  <c r="M123" i="2"/>
  <c r="P124" i="2"/>
  <c r="J124" i="10"/>
  <c r="N124" i="5" s="1"/>
  <c r="BJ118" i="8" l="1"/>
  <c r="BL118" i="8"/>
  <c r="BP118" i="8"/>
  <c r="BN118" i="8"/>
  <c r="AW119" i="5"/>
  <c r="AB118" i="2"/>
  <c r="AE130" i="9"/>
  <c r="G124" i="8"/>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J122" i="2" s="1"/>
  <c r="O127" i="1"/>
  <c r="CD117" i="8"/>
  <c r="CU117" i="8" s="1"/>
  <c r="CV117" i="8" s="1"/>
  <c r="BW118" i="8"/>
  <c r="CD118" i="8" s="1"/>
  <c r="BS118" i="8"/>
  <c r="BO118" i="8"/>
  <c r="BM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C117" i="11"/>
  <c r="U117" i="8" s="1"/>
  <c r="AB117" i="11"/>
  <c r="Q117" i="8" s="1"/>
  <c r="AD117" i="11"/>
  <c r="AI117" i="1" s="1"/>
  <c r="AA117" i="11"/>
  <c r="AK117" i="1" s="1"/>
  <c r="N118" i="11"/>
  <c r="Z117" i="11"/>
  <c r="Y117" i="11"/>
  <c r="AH117" i="1" s="1"/>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BJ119" i="8" l="1"/>
  <c r="BL119" i="8"/>
  <c r="BP119" i="8"/>
  <c r="BN119" i="8"/>
  <c r="AW120" i="5"/>
  <c r="AB119" i="2"/>
  <c r="AE131" i="9"/>
  <c r="G125" i="8"/>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J123" i="2" s="1"/>
  <c r="AG118" i="7"/>
  <c r="AI118" i="7" s="1"/>
  <c r="AG119" i="7"/>
  <c r="AI119" i="7" s="1"/>
  <c r="O128" i="1"/>
  <c r="CC118" i="8"/>
  <c r="DC117" i="8"/>
  <c r="G117" i="1" s="1"/>
  <c r="N117" i="8" s="1"/>
  <c r="AK123" i="11"/>
  <c r="BW119" i="8"/>
  <c r="CC119" i="8" s="1"/>
  <c r="BS119" i="8"/>
  <c r="BO119" i="8"/>
  <c r="BM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AJ120" i="5"/>
  <c r="AP120" i="5" s="1"/>
  <c r="BT120" i="5"/>
  <c r="X120" i="8"/>
  <c r="DA120" i="8" s="1"/>
  <c r="AI120" i="5"/>
  <c r="A120" i="10"/>
  <c r="AA120" i="10" s="1"/>
  <c r="AR118" i="5"/>
  <c r="C121" i="5"/>
  <c r="F121" i="5" s="1"/>
  <c r="CO118" i="8"/>
  <c r="AQ118" i="5"/>
  <c r="B118" i="14"/>
  <c r="CZ122" i="5"/>
  <c r="AB122" i="1"/>
  <c r="DI122" i="5"/>
  <c r="AC121" i="1"/>
  <c r="DA121" i="5"/>
  <c r="DG121" i="5" s="1" a="1"/>
  <c r="DG121" i="5" s="1"/>
  <c r="AF131" i="9"/>
  <c r="AJ131" i="9"/>
  <c r="N107" i="1"/>
  <c r="S124" i="2"/>
  <c r="N125" i="2"/>
  <c r="R125" i="2"/>
  <c r="Q124" i="2"/>
  <c r="P126" i="2"/>
  <c r="M125" i="2"/>
  <c r="J126" i="10"/>
  <c r="N126" i="5" s="1"/>
  <c r="BJ120" i="8" l="1"/>
  <c r="BL120" i="8"/>
  <c r="BP120" i="8"/>
  <c r="BN120" i="8"/>
  <c r="AW121" i="5"/>
  <c r="AB120" i="2"/>
  <c r="AE132" i="9"/>
  <c r="G126" i="8"/>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J124" i="2" s="1"/>
  <c r="AG120" i="7"/>
  <c r="AI120" i="7" s="1"/>
  <c r="O129" i="1"/>
  <c r="AK124" i="11"/>
  <c r="CD119" i="8"/>
  <c r="CU119" i="8" s="1"/>
  <c r="CV119" i="8" s="1"/>
  <c r="BS120" i="8"/>
  <c r="BT120" i="8"/>
  <c r="BO120" i="8"/>
  <c r="BM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AJ121" i="5"/>
  <c r="AP121" i="5" s="1"/>
  <c r="BT121" i="5"/>
  <c r="E121" i="1"/>
  <c r="A121" i="11"/>
  <c r="C122" i="5"/>
  <c r="F122" i="5" s="1"/>
  <c r="CZ123" i="5"/>
  <c r="AC122" i="1"/>
  <c r="DA122" i="5"/>
  <c r="DG122" i="5" s="1" a="1"/>
  <c r="DG122" i="5" s="1"/>
  <c r="AB123" i="1"/>
  <c r="DI123" i="5"/>
  <c r="AF132" i="9"/>
  <c r="AJ132" i="9"/>
  <c r="N108" i="1"/>
  <c r="S125" i="2"/>
  <c r="N126" i="2"/>
  <c r="R126" i="2"/>
  <c r="Q125" i="2"/>
  <c r="M126" i="2"/>
  <c r="P127" i="2"/>
  <c r="J127" i="10"/>
  <c r="N127" i="5" s="1"/>
  <c r="BJ121" i="8" l="1"/>
  <c r="BL121" i="8"/>
  <c r="BP121" i="8"/>
  <c r="BN121" i="8"/>
  <c r="AW122" i="5"/>
  <c r="AB121" i="2"/>
  <c r="AE133" i="9"/>
  <c r="G127" i="8"/>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J125" i="2" s="1"/>
  <c r="AG121" i="7"/>
  <c r="AI121" i="7" s="1"/>
  <c r="O130" i="1"/>
  <c r="AK125" i="11"/>
  <c r="BW121" i="8"/>
  <c r="CD121" i="8" s="1"/>
  <c r="BS121" i="8"/>
  <c r="BO121" i="8"/>
  <c r="BM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C123" i="5"/>
  <c r="F123" i="5" s="1"/>
  <c r="CZ124" i="5"/>
  <c r="AB124" i="1"/>
  <c r="DI124" i="5"/>
  <c r="C124" i="5"/>
  <c r="AC123" i="1"/>
  <c r="DA123" i="5"/>
  <c r="DG123" i="5" s="1" a="1"/>
  <c r="DG123" i="5" s="1"/>
  <c r="AF133" i="9"/>
  <c r="AJ133" i="9"/>
  <c r="N109" i="1"/>
  <c r="S126" i="2"/>
  <c r="N127" i="2"/>
  <c r="R127" i="2"/>
  <c r="Q126" i="2"/>
  <c r="J128" i="10"/>
  <c r="N128" i="5" s="1"/>
  <c r="M127" i="2"/>
  <c r="P128" i="2"/>
  <c r="BJ122" i="8" l="1"/>
  <c r="BL122" i="8"/>
  <c r="BN122" i="8"/>
  <c r="BP122" i="8"/>
  <c r="AW123" i="5"/>
  <c r="AB122" i="2"/>
  <c r="AE134" i="9"/>
  <c r="G128" i="8"/>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C121" i="8"/>
  <c r="BS122" i="8"/>
  <c r="BO122" i="8"/>
  <c r="BM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A123" i="11"/>
  <c r="AC123" i="8"/>
  <c r="BT123" i="5"/>
  <c r="A123" i="10"/>
  <c r="AA123" i="10" s="1"/>
  <c r="B123" i="7"/>
  <c r="AJ123" i="5"/>
  <c r="AP123" i="5" s="1"/>
  <c r="E123" i="1"/>
  <c r="AI123" i="5"/>
  <c r="B123" i="9"/>
  <c r="X123" i="9" s="1"/>
  <c r="X123" i="8"/>
  <c r="DA123" i="8" s="1"/>
  <c r="CZ125" i="5"/>
  <c r="AC124" i="1"/>
  <c r="DA124" i="5"/>
  <c r="DG124" i="5" s="1" a="1"/>
  <c r="DG124" i="5" s="1"/>
  <c r="AB125" i="1"/>
  <c r="DI125" i="5"/>
  <c r="AF134" i="9"/>
  <c r="AJ134" i="9"/>
  <c r="N110" i="1"/>
  <c r="S127" i="2"/>
  <c r="N128" i="2"/>
  <c r="R128" i="2"/>
  <c r="Q127" i="2"/>
  <c r="P129" i="2"/>
  <c r="M128" i="2"/>
  <c r="J129" i="10"/>
  <c r="N129" i="5" s="1"/>
  <c r="BJ123" i="8" l="1"/>
  <c r="BL123" i="8"/>
  <c r="BN123" i="8"/>
  <c r="BP123" i="8"/>
  <c r="AW124" i="5"/>
  <c r="AB123" i="2"/>
  <c r="AE135" i="9"/>
  <c r="G129" i="8"/>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J127" i="2" s="1"/>
  <c r="AK127" i="11"/>
  <c r="E124" i="1"/>
  <c r="AG122" i="7"/>
  <c r="AI122" i="7" s="1"/>
  <c r="O132" i="1"/>
  <c r="BW123" i="8"/>
  <c r="CD123" i="8" s="1"/>
  <c r="BS123" i="8"/>
  <c r="BO123" i="8"/>
  <c r="BM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BJ124" i="8" l="1"/>
  <c r="BL124" i="8"/>
  <c r="BN124" i="8"/>
  <c r="BP124" i="8"/>
  <c r="AW125" i="5"/>
  <c r="AB124" i="2"/>
  <c r="AE136" i="9"/>
  <c r="G130" i="8"/>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J128" i="2" s="1"/>
  <c r="AG124" i="7"/>
  <c r="AI124" i="7" s="1"/>
  <c r="AG123" i="7"/>
  <c r="AI123" i="7" s="1"/>
  <c r="O133" i="1"/>
  <c r="CC123" i="8"/>
  <c r="BS124" i="8"/>
  <c r="BO124" i="8"/>
  <c r="BM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125" i="9"/>
  <c r="X125" i="9" s="1"/>
  <c r="E125" i="1"/>
  <c r="AJ125" i="5"/>
  <c r="AP125" i="5" s="1"/>
  <c r="B125" i="7"/>
  <c r="X125" i="8"/>
  <c r="DA125" i="8" s="1"/>
  <c r="BT125" i="5"/>
  <c r="AQ123" i="5"/>
  <c r="A125" i="11"/>
  <c r="A125" i="10"/>
  <c r="AA125" i="10" s="1"/>
  <c r="CY123" i="8"/>
  <c r="CZ127" i="5"/>
  <c r="CO123" i="8"/>
  <c r="C126" i="5"/>
  <c r="F126" i="5" s="1"/>
  <c r="B123" i="14"/>
  <c r="AR123" i="5"/>
  <c r="AC126" i="1"/>
  <c r="DA126" i="5"/>
  <c r="DG126" i="5" s="1" a="1"/>
  <c r="DG126" i="5" s="1"/>
  <c r="AB127" i="1"/>
  <c r="DI127" i="5"/>
  <c r="AF136" i="9"/>
  <c r="AJ136" i="9"/>
  <c r="N112" i="1"/>
  <c r="S129" i="2"/>
  <c r="N130" i="2"/>
  <c r="R130" i="2"/>
  <c r="Q129" i="2"/>
  <c r="M130" i="2"/>
  <c r="J131" i="10"/>
  <c r="N131" i="5" s="1"/>
  <c r="P131" i="2"/>
  <c r="BJ125" i="8" l="1"/>
  <c r="BL125" i="8"/>
  <c r="BN125" i="8"/>
  <c r="BP125" i="8"/>
  <c r="AW126" i="5"/>
  <c r="AB125" i="2"/>
  <c r="G131" i="8"/>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J129" i="2" s="1"/>
  <c r="O134" i="1"/>
  <c r="BW125" i="8"/>
  <c r="CD125" i="8" s="1"/>
  <c r="BS125" i="8"/>
  <c r="BO125" i="8"/>
  <c r="BM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T126" i="5"/>
  <c r="A126" i="10"/>
  <c r="AA126" i="10" s="1"/>
  <c r="B126" i="7"/>
  <c r="E126" i="1"/>
  <c r="B126" i="9"/>
  <c r="X126" i="9" s="1"/>
  <c r="X126" i="8"/>
  <c r="DA126" i="8" s="1"/>
  <c r="AJ126" i="5"/>
  <c r="AP126" i="5" s="1"/>
  <c r="AI126" i="5"/>
  <c r="C127" i="5"/>
  <c r="F127" i="5" s="1"/>
  <c r="CZ128" i="5"/>
  <c r="AB128" i="1"/>
  <c r="DI128" i="5"/>
  <c r="AC127" i="1"/>
  <c r="DA127" i="5"/>
  <c r="DG127" i="5" s="1" a="1"/>
  <c r="DG127" i="5" s="1"/>
  <c r="N113" i="1"/>
  <c r="S130" i="2"/>
  <c r="N131" i="2"/>
  <c r="R131" i="2"/>
  <c r="Q130" i="2"/>
  <c r="J132" i="10"/>
  <c r="N132" i="5" s="1"/>
  <c r="P132" i="2"/>
  <c r="M131" i="2"/>
  <c r="BJ126" i="8" l="1"/>
  <c r="BL126" i="8"/>
  <c r="BN126" i="8"/>
  <c r="BP126" i="8"/>
  <c r="AW127" i="5"/>
  <c r="AB126" i="2"/>
  <c r="G132" i="8"/>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J130" i="2" s="1"/>
  <c r="AG125" i="7"/>
  <c r="AI125" i="7" s="1"/>
  <c r="O135" i="1"/>
  <c r="CC125" i="8"/>
  <c r="BS126" i="8"/>
  <c r="BO126" i="8"/>
  <c r="BM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C127" i="8"/>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BJ127" i="8" l="1"/>
  <c r="BL127" i="8"/>
  <c r="BP127" i="8"/>
  <c r="BN127" i="8"/>
  <c r="AW128" i="5"/>
  <c r="AB127" i="2"/>
  <c r="G133" i="8"/>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J131" i="2" s="1"/>
  <c r="AG126" i="7"/>
  <c r="AI126" i="7" s="1"/>
  <c r="O136" i="1"/>
  <c r="BW127" i="8"/>
  <c r="CC127" i="8" s="1"/>
  <c r="BS127" i="8"/>
  <c r="BO127" i="8"/>
  <c r="BM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CY126" i="8"/>
  <c r="C129" i="5"/>
  <c r="F129" i="5" s="1"/>
  <c r="AA126" i="11"/>
  <c r="AK126" i="1" s="1"/>
  <c r="Z126" i="11"/>
  <c r="AD126" i="11"/>
  <c r="AI126" i="1" s="1"/>
  <c r="AB126" i="11"/>
  <c r="Q126" i="8" s="1"/>
  <c r="AC126" i="11"/>
  <c r="U126" i="8" s="1"/>
  <c r="Y126" i="11"/>
  <c r="AH126" i="1" s="1"/>
  <c r="N127" i="11"/>
  <c r="CZ130" i="5"/>
  <c r="AI128" i="5"/>
  <c r="A128" i="11"/>
  <c r="AC128" i="8"/>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BJ128" i="8" l="1"/>
  <c r="BL128" i="8"/>
  <c r="BP128" i="8"/>
  <c r="BN128" i="8"/>
  <c r="AW129" i="5"/>
  <c r="AB128" i="2"/>
  <c r="G134" i="8"/>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J132" i="2" s="1"/>
  <c r="AG127" i="7"/>
  <c r="AI127" i="7" s="1"/>
  <c r="CD127" i="8"/>
  <c r="CU127" i="8" s="1"/>
  <c r="CV127" i="8" s="1"/>
  <c r="AN128" i="5"/>
  <c r="BW128" i="8"/>
  <c r="CC128" i="8" s="1"/>
  <c r="BS128" i="8"/>
  <c r="BO128" i="8"/>
  <c r="BM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B127" i="14"/>
  <c r="CZ131" i="5"/>
  <c r="AB127" i="11"/>
  <c r="Q127" i="8" s="1"/>
  <c r="N128" i="11"/>
  <c r="AA127" i="11"/>
  <c r="AK127" i="1" s="1"/>
  <c r="Z127" i="11"/>
  <c r="AD127" i="11"/>
  <c r="AI127" i="1" s="1"/>
  <c r="AC127" i="11"/>
  <c r="U127" i="8" s="1"/>
  <c r="Y127" i="11"/>
  <c r="AH127" i="1" s="1"/>
  <c r="C130" i="5"/>
  <c r="F130" i="5" s="1"/>
  <c r="X129" i="8"/>
  <c r="DA129" i="8" s="1"/>
  <c r="B129" i="9"/>
  <c r="X129" i="9" s="1"/>
  <c r="A129" i="10"/>
  <c r="AA129" i="10" s="1"/>
  <c r="AJ129" i="5"/>
  <c r="AP129" i="5" s="1"/>
  <c r="AI129" i="5"/>
  <c r="A129" i="11"/>
  <c r="AC129" i="8"/>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BJ129" i="8" l="1"/>
  <c r="BL129" i="8"/>
  <c r="BP129" i="8"/>
  <c r="BN129" i="8"/>
  <c r="AW130" i="5"/>
  <c r="AB129" i="2"/>
  <c r="G135" i="8"/>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J133" i="2" s="1"/>
  <c r="AG128" i="7"/>
  <c r="AI128" i="7" s="1"/>
  <c r="CD128" i="8"/>
  <c r="CU128" i="8" s="1"/>
  <c r="CV128" i="8" s="1"/>
  <c r="BW129" i="8"/>
  <c r="CD129" i="8" s="1"/>
  <c r="BS129" i="8"/>
  <c r="BO129" i="8"/>
  <c r="BM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130" i="7"/>
  <c r="A130" i="10"/>
  <c r="AA130" i="10" s="1"/>
  <c r="E130" i="1"/>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BJ130" i="8" l="1"/>
  <c r="BL130" i="8"/>
  <c r="BP130" i="8"/>
  <c r="BN130" i="8"/>
  <c r="AW131" i="5"/>
  <c r="AB130" i="2"/>
  <c r="G136" i="8"/>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C129" i="8"/>
  <c r="BW130" i="8"/>
  <c r="CC130" i="8" s="1"/>
  <c r="BS130" i="8"/>
  <c r="BO130" i="8"/>
  <c r="BM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N130" i="11"/>
  <c r="AD129" i="11"/>
  <c r="AI129" i="1" s="1"/>
  <c r="Z129" i="11"/>
  <c r="AB129" i="11"/>
  <c r="Q129" i="8" s="1"/>
  <c r="AA129" i="11"/>
  <c r="AK129" i="1" s="1"/>
  <c r="AC129" i="11"/>
  <c r="U129" i="8" s="1"/>
  <c r="Y129" i="11"/>
  <c r="AH129" i="1" s="1"/>
  <c r="AC131" i="8"/>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AC132" i="1"/>
  <c r="DA132" i="5"/>
  <c r="AB133" i="1"/>
  <c r="DI133" i="5"/>
  <c r="N118" i="1"/>
  <c r="S135" i="2"/>
  <c r="S136" i="2"/>
  <c r="Q135" i="2"/>
  <c r="Q136" i="2"/>
  <c r="M136" i="2"/>
  <c r="BJ131" i="8" l="1"/>
  <c r="BL131" i="8"/>
  <c r="BP131" i="8"/>
  <c r="BN131" i="8"/>
  <c r="CE136" i="8"/>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J135" i="2" s="1"/>
  <c r="AG130" i="7"/>
  <c r="AI130" i="7" s="1"/>
  <c r="DG132" i="5" a="1"/>
  <c r="DG132" i="5" s="1"/>
  <c r="CD130" i="8"/>
  <c r="CU130" i="8" s="1"/>
  <c r="CV130" i="8" s="1"/>
  <c r="BS131" i="8"/>
  <c r="BO131" i="8"/>
  <c r="BM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AB136" i="2"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W132" i="5" l="1"/>
  <c r="AB131" i="2"/>
  <c r="AD135" i="1"/>
  <c r="AS135" i="5"/>
  <c r="V134" i="2"/>
  <c r="DC129" i="8"/>
  <c r="G129" i="1" s="1"/>
  <c r="N129" i="8" s="1"/>
  <c r="P131" i="8"/>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E132" i="1"/>
  <c r="F133" i="5"/>
  <c r="D134" i="7"/>
  <c r="B134" i="10"/>
  <c r="G135" i="5"/>
  <c r="B134" i="5"/>
  <c r="CZ134" i="5"/>
  <c r="CO131" i="8"/>
  <c r="AQ131" i="5"/>
  <c r="AR131" i="5"/>
  <c r="C134" i="5"/>
  <c r="B131" i="14"/>
  <c r="CY131" i="8"/>
  <c r="AC134" i="1"/>
  <c r="DA134" i="5"/>
  <c r="AB135" i="1"/>
  <c r="DI135" i="5"/>
  <c r="N120" i="1"/>
  <c r="W136" i="1"/>
  <c r="BJ132" i="8" l="1"/>
  <c r="BL132" i="8"/>
  <c r="BP132" i="8"/>
  <c r="BN132" i="8"/>
  <c r="AW133" i="5"/>
  <c r="AB132" i="2"/>
  <c r="BQ132" i="8"/>
  <c r="BR132" i="8"/>
  <c r="AS136" i="5"/>
  <c r="V135" i="2"/>
  <c r="AO132" i="5"/>
  <c r="AV133" i="5"/>
  <c r="DG134" i="5" a="1"/>
  <c r="DG134" i="5" s="1"/>
  <c r="BW132" i="8"/>
  <c r="CD132" i="8" s="1"/>
  <c r="BS132" i="8"/>
  <c r="BO132" i="8"/>
  <c r="BM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A133" i="10"/>
  <c r="AA133" i="10" s="1"/>
  <c r="B133" i="7"/>
  <c r="AE133" i="7" s="1"/>
  <c r="AF133" i="7" s="1"/>
  <c r="F134" i="5"/>
  <c r="B135" i="10"/>
  <c r="D135" i="7"/>
  <c r="G136" i="5"/>
  <c r="B135" i="5"/>
  <c r="C135" i="5"/>
  <c r="AB136" i="1"/>
  <c r="DI136" i="5"/>
  <c r="AC135" i="1"/>
  <c r="DA135" i="5"/>
  <c r="N121" i="1"/>
  <c r="BJ133" i="8" l="1"/>
  <c r="BL133" i="8"/>
  <c r="BP133" i="8"/>
  <c r="BN133" i="8"/>
  <c r="AW134" i="5"/>
  <c r="AB133" i="2"/>
  <c r="BQ133" i="8"/>
  <c r="BR133" i="8"/>
  <c r="CZ136" i="5"/>
  <c r="V136" i="2"/>
  <c r="AO133" i="5"/>
  <c r="AV134" i="5"/>
  <c r="AG133" i="7"/>
  <c r="AI133" i="7" s="1"/>
  <c r="AG132" i="7"/>
  <c r="AI132" i="7" s="1"/>
  <c r="CC132" i="8"/>
  <c r="DG135" i="5" a="1"/>
  <c r="DG135" i="5" s="1"/>
  <c r="BW133" i="8"/>
  <c r="CD133" i="8" s="1"/>
  <c r="BS133" i="8"/>
  <c r="BO133" i="8"/>
  <c r="BM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Q133" i="7"/>
  <c r="F135" i="5"/>
  <c r="AI134" i="5"/>
  <c r="BT134" i="5"/>
  <c r="B134" i="7"/>
  <c r="Q134" i="7" s="1"/>
  <c r="X134" i="8"/>
  <c r="DA134" i="8" s="1"/>
  <c r="B134" i="9"/>
  <c r="X134" i="9" s="1"/>
  <c r="B136" i="5"/>
  <c r="B136" i="10"/>
  <c r="D136" i="7"/>
  <c r="C136" i="5"/>
  <c r="B133" i="14"/>
  <c r="AC136" i="1"/>
  <c r="DA136" i="5"/>
  <c r="N122" i="1"/>
  <c r="BJ134" i="8" l="1"/>
  <c r="BL134" i="8"/>
  <c r="BP134" i="8"/>
  <c r="BN134" i="8"/>
  <c r="AW135" i="5"/>
  <c r="AB134" i="2"/>
  <c r="DG136" i="5" a="1"/>
  <c r="DG136" i="5" s="1"/>
  <c r="BQ134" i="8"/>
  <c r="BR134" i="8"/>
  <c r="CU132" i="8"/>
  <c r="CV132" i="8" s="1"/>
  <c r="P132" i="8"/>
  <c r="AO134" i="5"/>
  <c r="AV135" i="5"/>
  <c r="AN134" i="5"/>
  <c r="CC133" i="8"/>
  <c r="BW134" i="8"/>
  <c r="CC134" i="8" s="1"/>
  <c r="BS134" i="8"/>
  <c r="BO134" i="8"/>
  <c r="BM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A1269" i="14"/>
  <c r="AA1270" i="14" s="1"/>
  <c r="N123" i="1"/>
  <c r="BJ135" i="8" l="1"/>
  <c r="BL135" i="8"/>
  <c r="BP135" i="8"/>
  <c r="BN135" i="8"/>
  <c r="AW136" i="5"/>
  <c r="AB135" i="2"/>
  <c r="BQ135" i="8"/>
  <c r="BR135" i="8"/>
  <c r="DC132" i="8"/>
  <c r="G132" i="1" s="1"/>
  <c r="N132" i="8" s="1"/>
  <c r="CD134" i="8"/>
  <c r="CU134" i="8" s="1"/>
  <c r="CV134" i="8" s="1"/>
  <c r="P134" i="8"/>
  <c r="CU133" i="8"/>
  <c r="CV133" i="8" s="1"/>
  <c r="P133" i="8"/>
  <c r="AO135" i="5"/>
  <c r="AV136" i="5"/>
  <c r="AG134" i="7"/>
  <c r="AI134" i="7" s="1"/>
  <c r="BW135" i="8"/>
  <c r="CC135" i="8" s="1"/>
  <c r="BS135" i="8"/>
  <c r="BO135" i="8"/>
  <c r="BM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J136" i="8" l="1"/>
  <c r="BL136" i="8"/>
  <c r="BP136" i="8"/>
  <c r="BN136" i="8"/>
  <c r="BQ136" i="8"/>
  <c r="BR136" i="8"/>
  <c r="DC133" i="8"/>
  <c r="G133" i="1" s="1"/>
  <c r="N133" i="8" s="1"/>
  <c r="P135" i="8"/>
  <c r="AO136" i="5"/>
  <c r="AG136" i="7"/>
  <c r="AI136" i="7" s="1"/>
  <c r="AG135" i="7"/>
  <c r="AI135" i="7" s="1"/>
  <c r="CD135" i="8"/>
  <c r="CU135" i="8" s="1"/>
  <c r="CV135" i="8" s="1"/>
  <c r="BW136" i="8"/>
  <c r="CC136" i="8" s="1"/>
  <c r="BS136" i="8"/>
  <c r="BO136" i="8"/>
  <c r="BM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C110" i="2"/>
  <c r="AC120" i="2"/>
  <c r="AC116" i="2"/>
  <c r="AC86" i="2"/>
  <c r="AC105" i="2"/>
  <c r="AC84" i="2"/>
  <c r="AC96" i="2"/>
  <c r="AC69" i="2"/>
  <c r="AC72" i="2"/>
  <c r="AC62" i="2"/>
  <c r="AC46" i="2"/>
  <c r="AC35" i="2"/>
  <c r="AC37" i="2"/>
  <c r="AC32" i="2"/>
  <c r="AC21"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C135" i="2"/>
  <c r="AC123" i="2"/>
  <c r="AC113" i="2"/>
  <c r="AC102" i="2"/>
  <c r="AC108" i="2"/>
  <c r="AC112" i="2"/>
  <c r="AC83" i="2"/>
  <c r="AC88" i="2"/>
  <c r="AC65" i="2"/>
  <c r="AC58" i="2"/>
  <c r="AC53" i="2"/>
  <c r="AC44" i="2"/>
  <c r="AC42" i="2"/>
  <c r="AC28" i="2"/>
  <c r="AC31" i="2"/>
  <c r="AC14" i="2"/>
  <c r="AC7" i="2"/>
  <c r="R132" i="8"/>
  <c r="R116" i="8"/>
  <c r="R134" i="8"/>
  <c r="R98" i="8"/>
  <c r="R95" i="8"/>
  <c r="R85" i="8"/>
  <c r="R82" i="8"/>
  <c r="R71" i="8"/>
  <c r="R65" i="8"/>
  <c r="R63" i="8"/>
  <c r="R47" i="8"/>
  <c r="R45" i="8"/>
  <c r="R40" i="8"/>
  <c r="R18" i="8"/>
  <c r="R23" i="8"/>
  <c r="R10" i="8"/>
  <c r="AC136" i="2"/>
  <c r="AC130" i="2"/>
  <c r="AC127" i="2"/>
  <c r="AC94" i="2"/>
  <c r="AC100" i="2"/>
  <c r="AC104" i="2"/>
  <c r="AC90" i="2"/>
  <c r="AC80" i="2"/>
  <c r="AC68" i="2"/>
  <c r="AC57" i="2"/>
  <c r="AC61" i="2"/>
  <c r="AC51" i="2"/>
  <c r="AC34" i="2"/>
  <c r="AC27" i="2"/>
  <c r="AC30" i="2"/>
  <c r="AC13" i="2"/>
  <c r="AC6" i="2"/>
  <c r="R124" i="8"/>
  <c r="R129" i="8"/>
  <c r="R126" i="8"/>
  <c r="R86" i="8"/>
  <c r="R91" i="8"/>
  <c r="R92" i="8"/>
  <c r="R89" i="8"/>
  <c r="R70" i="8"/>
  <c r="R73" i="8"/>
  <c r="R55" i="8"/>
  <c r="R46" i="8"/>
  <c r="R36" i="8"/>
  <c r="R39" i="8"/>
  <c r="R17" i="8"/>
  <c r="R11" i="8"/>
  <c r="R9" i="8"/>
  <c r="AC131" i="2"/>
  <c r="AC122" i="2"/>
  <c r="AC119" i="2"/>
  <c r="AC109" i="2"/>
  <c r="AC115" i="2"/>
  <c r="AC97" i="2"/>
  <c r="AC82" i="2"/>
  <c r="AC78" i="2"/>
  <c r="AC75" i="2"/>
  <c r="AC52" i="2"/>
  <c r="AC60" i="2"/>
  <c r="AC50" i="2"/>
  <c r="AC41" i="2"/>
  <c r="AC24" i="2"/>
  <c r="AC29" i="2"/>
  <c r="AC20" i="2"/>
  <c r="AC5" i="2"/>
  <c r="R113" i="8"/>
  <c r="R121" i="8"/>
  <c r="R118" i="8"/>
  <c r="R115" i="8"/>
  <c r="R105" i="8"/>
  <c r="R84" i="8"/>
  <c r="R81" i="8"/>
  <c r="R69" i="8"/>
  <c r="R72" i="8"/>
  <c r="R62" i="8"/>
  <c r="R44" i="8"/>
  <c r="R28" i="8"/>
  <c r="R38" i="8"/>
  <c r="R15" i="8"/>
  <c r="R22" i="8"/>
  <c r="R8" i="8"/>
  <c r="AC133" i="2"/>
  <c r="AC129" i="2"/>
  <c r="AC117" i="2"/>
  <c r="AC101" i="2"/>
  <c r="AC107" i="2"/>
  <c r="AC103" i="2"/>
  <c r="AC79" i="2"/>
  <c r="AC76" i="2"/>
  <c r="AC67" i="2"/>
  <c r="AC64" i="2"/>
  <c r="AC54" i="2"/>
  <c r="AC49" i="2"/>
  <c r="AC40" i="2"/>
  <c r="AC26" i="2"/>
  <c r="AC23" i="2"/>
  <c r="AC19" i="2"/>
  <c r="AC12" i="2"/>
  <c r="R131" i="8"/>
  <c r="R123" i="8"/>
  <c r="R128" i="8"/>
  <c r="R102" i="8"/>
  <c r="R107" i="8"/>
  <c r="R112" i="8"/>
  <c r="R78" i="8"/>
  <c r="R68" i="8"/>
  <c r="R58" i="8"/>
  <c r="R61" i="8"/>
  <c r="R43" i="8"/>
  <c r="R35" i="8"/>
  <c r="R37" i="8"/>
  <c r="R31" i="8"/>
  <c r="R21" i="8"/>
  <c r="R7" i="8"/>
  <c r="AC125" i="2"/>
  <c r="AC121" i="2"/>
  <c r="AC134" i="2"/>
  <c r="AC99" i="2"/>
  <c r="AC114" i="2"/>
  <c r="AC93" i="2"/>
  <c r="AC89" i="2"/>
  <c r="AC87" i="2"/>
  <c r="AC74" i="2"/>
  <c r="AC56" i="2"/>
  <c r="AC59" i="2"/>
  <c r="AC43" i="2"/>
  <c r="AC39" i="2"/>
  <c r="AC18" i="2"/>
  <c r="AC11"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X4" i="2"/>
  <c r="AC4" i="2"/>
  <c r="U4" i="2" s="1"/>
  <c r="R110" i="8"/>
  <c r="R120" i="8"/>
  <c r="R109" i="8"/>
  <c r="R97" i="8"/>
  <c r="R104" i="8"/>
  <c r="R83" i="8"/>
  <c r="R96" i="8"/>
  <c r="R66" i="8"/>
  <c r="R57" i="8"/>
  <c r="R54" i="8"/>
  <c r="R51" i="8"/>
  <c r="R42" i="8"/>
  <c r="R27" i="8"/>
  <c r="R30" i="8"/>
  <c r="R20" i="8"/>
  <c r="R6" i="8"/>
  <c r="AC132" i="2"/>
  <c r="AC111" i="2"/>
  <c r="AC126" i="2"/>
  <c r="AC95" i="2"/>
  <c r="AC106" i="2"/>
  <c r="AC85" i="2"/>
  <c r="AC81" i="2"/>
  <c r="AC71" i="2"/>
  <c r="AC73" i="2"/>
  <c r="AC63" i="2"/>
  <c r="AC47" i="2"/>
  <c r="AC48" i="2"/>
  <c r="AC38" i="2"/>
  <c r="AC17" i="2"/>
  <c r="AC15" i="2"/>
  <c r="AC10" i="2"/>
  <c r="R135" i="8"/>
  <c r="R136" i="8"/>
  <c r="R130" i="8"/>
  <c r="R127" i="8"/>
  <c r="R101" i="8"/>
  <c r="R94" i="8"/>
  <c r="R103" i="8"/>
  <c r="R79" i="8"/>
  <c r="R88" i="8"/>
  <c r="R75" i="8"/>
  <c r="R64" i="8"/>
  <c r="R52" i="8"/>
  <c r="R50" i="8"/>
  <c r="R34" i="8"/>
  <c r="R26" i="8"/>
  <c r="R24" i="8"/>
  <c r="R16" i="8"/>
  <c r="R5" i="8"/>
  <c r="AC124" i="2"/>
  <c r="AC128" i="2"/>
  <c r="AC118" i="2"/>
  <c r="AC91" i="2"/>
  <c r="AC98" i="2"/>
  <c r="AC92" i="2"/>
  <c r="AC77" i="2"/>
  <c r="AC70" i="2"/>
  <c r="AC66" i="2"/>
  <c r="AC55" i="2"/>
  <c r="AC45" i="2"/>
  <c r="AC36" i="2"/>
  <c r="AC33" i="2"/>
  <c r="AC25" i="2"/>
  <c r="AC22"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L6" i="5"/>
  <c r="BK6" i="1"/>
  <c r="D5" i="11"/>
  <c r="C4" i="14"/>
  <c r="U6" i="1" l="1"/>
  <c r="J7" i="1" s="1"/>
  <c r="AQ7" i="1" s="1"/>
  <c r="D6" i="11"/>
  <c r="AQ7" i="8" l="1"/>
  <c r="U7" i="1"/>
  <c r="J8" i="1" s="1"/>
  <c r="AQ8" i="1" s="1"/>
  <c r="AL7" i="5"/>
  <c r="D7" i="11"/>
  <c r="BK7" i="1"/>
  <c r="AQ8" i="8" l="1"/>
  <c r="U8" i="1"/>
  <c r="J9" i="1" s="1"/>
  <c r="AQ9" i="1" s="1"/>
  <c r="AL8" i="5"/>
  <c r="BK8" i="1"/>
  <c r="D8" i="11"/>
  <c r="C5" i="14"/>
  <c r="AQ9" i="8" l="1"/>
  <c r="U9" i="1"/>
  <c r="J10" i="1" s="1"/>
  <c r="AQ10" i="1" s="1"/>
  <c r="AL9" i="5"/>
  <c r="D9" i="11"/>
  <c r="BK9" i="1"/>
  <c r="C6" i="14"/>
  <c r="AQ10" i="8" l="1"/>
  <c r="U10" i="1"/>
  <c r="J11" i="1" s="1"/>
  <c r="AQ11" i="1" s="1"/>
  <c r="AL10" i="5"/>
  <c r="BK10" i="1"/>
  <c r="D10" i="11"/>
  <c r="C7" i="14"/>
  <c r="AQ11" i="8" l="1"/>
  <c r="U11" i="1"/>
  <c r="J12" i="1" s="1"/>
  <c r="AQ12" i="1" s="1"/>
  <c r="AL11" i="5"/>
  <c r="BK11" i="1"/>
  <c r="D11" i="11"/>
  <c r="C8" i="14"/>
  <c r="AQ12" i="8" l="1"/>
  <c r="AL12" i="5"/>
  <c r="C13" i="14"/>
  <c r="C9" i="14"/>
  <c r="U12" i="1" l="1"/>
  <c r="J13" i="1" s="1"/>
  <c r="AQ13" i="1" s="1"/>
  <c r="BK12" i="1"/>
  <c r="D12" i="11"/>
  <c r="C14" i="14"/>
  <c r="C10" i="14"/>
  <c r="AQ13" i="8" l="1"/>
  <c r="AL13" i="5"/>
  <c r="C11" i="14"/>
  <c r="U13" i="1" l="1"/>
  <c r="J14" i="1" s="1"/>
  <c r="AQ14" i="1" s="1"/>
  <c r="BK13" i="1"/>
  <c r="D13" i="11"/>
  <c r="C12" i="14"/>
  <c r="AQ14" i="8" l="1"/>
  <c r="U14" i="1"/>
  <c r="J15" i="1" s="1"/>
  <c r="AQ15" i="1" s="1"/>
  <c r="AL14" i="5"/>
  <c r="BK14" i="1"/>
  <c r="D14" i="11"/>
  <c r="C16" i="14"/>
  <c r="AQ15" i="8" l="1"/>
  <c r="U15" i="1"/>
  <c r="J16" i="1" s="1"/>
  <c r="AQ16" i="1" s="1"/>
  <c r="AL15" i="5"/>
  <c r="BK15" i="1"/>
  <c r="D15" i="11"/>
  <c r="C17" i="14"/>
  <c r="AQ16" i="8" l="1"/>
  <c r="AL16" i="5"/>
  <c r="C18" i="14"/>
  <c r="BK16" i="1" l="1"/>
  <c r="U16" i="1"/>
  <c r="J17" i="1" s="1"/>
  <c r="AQ17" i="1" s="1"/>
  <c r="D16" i="11"/>
  <c r="C19" i="14"/>
  <c r="AQ17" i="8" l="1"/>
  <c r="AL17" i="5"/>
  <c r="C20" i="14"/>
  <c r="BK17" i="1" l="1"/>
  <c r="U17" i="1"/>
  <c r="J18" i="1" s="1"/>
  <c r="AQ18" i="1" s="1"/>
  <c r="D17" i="11"/>
  <c r="C21" i="14"/>
  <c r="AQ18" i="8" l="1"/>
  <c r="AL18" i="5"/>
  <c r="C22" i="14"/>
  <c r="BK18" i="1" l="1"/>
  <c r="U18" i="1"/>
  <c r="J19" i="1" s="1"/>
  <c r="AQ19" i="1" s="1"/>
  <c r="D18" i="11"/>
  <c r="C25" i="14"/>
  <c r="C23" i="14"/>
  <c r="AQ19" i="8" l="1"/>
  <c r="AL19" i="5"/>
  <c r="C24" i="14"/>
  <c r="U19" i="1" l="1"/>
  <c r="J20" i="1" s="1"/>
  <c r="AQ20" i="1" s="1"/>
  <c r="BK19" i="1"/>
  <c r="D19" i="11"/>
  <c r="C27" i="14"/>
  <c r="AQ20" i="8" l="1"/>
  <c r="AL20" i="5"/>
  <c r="C28" i="14"/>
  <c r="BK20" i="1" l="1"/>
  <c r="U20" i="1"/>
  <c r="J21" i="1" s="1"/>
  <c r="AQ21" i="1" s="1"/>
  <c r="D20" i="11"/>
  <c r="C29" i="14"/>
  <c r="AQ21" i="8" l="1"/>
  <c r="AL21" i="5"/>
  <c r="C30" i="14"/>
  <c r="U21" i="1" l="1"/>
  <c r="J22" i="1" s="1"/>
  <c r="AQ22" i="1" s="1"/>
  <c r="BK21" i="1"/>
  <c r="D21" i="11"/>
  <c r="C31" i="14"/>
  <c r="AQ22" i="8" l="1"/>
  <c r="U22" i="1"/>
  <c r="J23" i="1" s="1"/>
  <c r="AQ23" i="1" s="1"/>
  <c r="AL22" i="5"/>
  <c r="D22" i="11"/>
  <c r="BK22" i="1"/>
  <c r="C32" i="14"/>
  <c r="AQ23" i="8" l="1"/>
  <c r="AL23" i="5"/>
  <c r="C33" i="14"/>
  <c r="BK23" i="1" l="1"/>
  <c r="U23" i="1"/>
  <c r="J24" i="1" s="1"/>
  <c r="AQ24" i="1" s="1"/>
  <c r="D23" i="11"/>
  <c r="C34" i="14"/>
  <c r="AQ24" i="8" l="1"/>
  <c r="AL24" i="5"/>
  <c r="C35" i="14"/>
  <c r="BK24" i="1" l="1"/>
  <c r="U24" i="1"/>
  <c r="J25" i="1" s="1"/>
  <c r="AQ25" i="1" s="1"/>
  <c r="D24" i="11"/>
  <c r="AQ25" i="8" l="1"/>
  <c r="AL25" i="5"/>
  <c r="C37" i="14"/>
  <c r="BK25" i="1" l="1"/>
  <c r="U25" i="1"/>
  <c r="J26" i="1" s="1"/>
  <c r="AQ26" i="1" s="1"/>
  <c r="D25" i="11"/>
  <c r="C38" i="14"/>
  <c r="AQ26" i="8" l="1"/>
  <c r="AL26" i="5"/>
  <c r="C39" i="14"/>
  <c r="BK26" i="1" l="1"/>
  <c r="U26" i="1"/>
  <c r="J27" i="1" s="1"/>
  <c r="AQ27" i="1" s="1"/>
  <c r="D26" i="11"/>
  <c r="C40" i="14"/>
  <c r="AQ27" i="8" l="1"/>
  <c r="AL27" i="5"/>
  <c r="C41" i="14"/>
  <c r="U27" i="1" l="1"/>
  <c r="J28" i="1" s="1"/>
  <c r="AQ28" i="1" s="1"/>
  <c r="BK27" i="1"/>
  <c r="D27" i="11"/>
  <c r="C42" i="14"/>
  <c r="AQ28" i="8" l="1"/>
  <c r="AL28" i="5"/>
  <c r="C43" i="14"/>
  <c r="U28" i="1" l="1"/>
  <c r="J29" i="1" s="1"/>
  <c r="AQ29" i="1" s="1"/>
  <c r="BK28" i="1"/>
  <c r="D28" i="11"/>
  <c r="C44" i="14"/>
  <c r="AQ29" i="8" l="1"/>
  <c r="U29" i="1"/>
  <c r="J30" i="1" s="1"/>
  <c r="AQ30" i="1" s="1"/>
  <c r="AL29" i="5"/>
  <c r="BK29" i="1"/>
  <c r="D29" i="11"/>
  <c r="C46" i="14"/>
  <c r="AQ30" i="8" l="1"/>
  <c r="AL30" i="5"/>
  <c r="C47" i="14"/>
  <c r="BK30" i="1" l="1"/>
  <c r="U30" i="1"/>
  <c r="J31" i="1" s="1"/>
  <c r="AQ31" i="1" s="1"/>
  <c r="D30" i="11"/>
  <c r="C48" i="14"/>
  <c r="AQ31" i="8" l="1"/>
  <c r="AL31" i="5"/>
  <c r="C49" i="14"/>
  <c r="U31" i="1" l="1"/>
  <c r="J32" i="1" s="1"/>
  <c r="AQ32" i="1" s="1"/>
  <c r="BK31" i="1"/>
  <c r="D31" i="11"/>
  <c r="C50" i="14"/>
  <c r="AQ32" i="8" l="1"/>
  <c r="AL32" i="5"/>
  <c r="C51" i="14"/>
  <c r="U32" i="1" l="1"/>
  <c r="J33" i="1" s="1"/>
  <c r="AQ33" i="1" s="1"/>
  <c r="BK32" i="1"/>
  <c r="D32" i="11"/>
  <c r="C52" i="14"/>
  <c r="AQ33" i="8" l="1"/>
  <c r="U33" i="1"/>
  <c r="J34" i="1" s="1"/>
  <c r="AQ34" i="1" s="1"/>
  <c r="AL33" i="5"/>
  <c r="BK33" i="1"/>
  <c r="D33" i="11"/>
  <c r="C54" i="14"/>
  <c r="AQ34" i="8" l="1"/>
  <c r="AL34" i="5"/>
  <c r="C55" i="14"/>
  <c r="U34" i="1" l="1"/>
  <c r="J35" i="1" s="1"/>
  <c r="AQ35" i="1" s="1"/>
  <c r="BK34" i="1"/>
  <c r="D34" i="11"/>
  <c r="C56" i="14"/>
  <c r="AQ35" i="8" l="1"/>
  <c r="AL35" i="5"/>
  <c r="C57" i="14"/>
  <c r="U35" i="1" l="1"/>
  <c r="J36" i="1" s="1"/>
  <c r="AQ36" i="1" s="1"/>
  <c r="BK35" i="1"/>
  <c r="D35" i="11"/>
  <c r="C58" i="14"/>
  <c r="AQ36" i="8" l="1"/>
  <c r="AL36" i="5"/>
  <c r="C59" i="14"/>
  <c r="U36" i="1" l="1"/>
  <c r="J37" i="1" s="1"/>
  <c r="AQ37" i="1" s="1"/>
  <c r="BK36" i="1"/>
  <c r="D36" i="11"/>
  <c r="AQ37" i="8" l="1"/>
  <c r="AL37" i="5"/>
  <c r="C61" i="14"/>
  <c r="U37" i="1" l="1"/>
  <c r="J38" i="1" s="1"/>
  <c r="AQ38" i="1" s="1"/>
  <c r="BK37" i="1"/>
  <c r="D37" i="11"/>
  <c r="C62" i="14"/>
  <c r="AQ38" i="8" l="1"/>
  <c r="AL38" i="5"/>
  <c r="C63" i="14"/>
  <c r="U38" i="1" l="1"/>
  <c r="J39" i="1" s="1"/>
  <c r="AQ39" i="1" s="1"/>
  <c r="BK38" i="1"/>
  <c r="D38" i="11"/>
  <c r="C64" i="14"/>
  <c r="AQ39" i="8" l="1"/>
  <c r="AL39" i="5"/>
  <c r="C65" i="14"/>
  <c r="BK39" i="1" l="1"/>
  <c r="U39" i="1"/>
  <c r="J40" i="1" s="1"/>
  <c r="AQ40" i="1" s="1"/>
  <c r="D39" i="11"/>
  <c r="AQ40" i="8" l="1"/>
  <c r="AL40" i="5"/>
  <c r="C67" i="14"/>
  <c r="U40" i="1" l="1"/>
  <c r="J41" i="1" s="1"/>
  <c r="AQ41" i="1" s="1"/>
  <c r="BK40" i="1"/>
  <c r="D40" i="11"/>
  <c r="C68" i="14"/>
  <c r="AQ41" i="8" l="1"/>
  <c r="AL41" i="5"/>
  <c r="C69" i="14"/>
  <c r="C15" i="14"/>
  <c r="BK41" i="1" l="1"/>
  <c r="U41" i="1"/>
  <c r="J42" i="1" s="1"/>
  <c r="AQ42" i="1" s="1"/>
  <c r="D41" i="11"/>
  <c r="C70" i="14"/>
  <c r="C26" i="14"/>
  <c r="AQ42" i="8" l="1"/>
  <c r="AL42" i="5"/>
  <c r="C36" i="14"/>
  <c r="BK42" i="1" l="1"/>
  <c r="U42" i="1"/>
  <c r="J43" i="1" s="1"/>
  <c r="AQ43" i="1" s="1"/>
  <c r="D42" i="11"/>
  <c r="C45" i="14"/>
  <c r="C72" i="14"/>
  <c r="AQ43" i="8" l="1"/>
  <c r="AL43" i="5"/>
  <c r="C73" i="14"/>
  <c r="C53" i="14"/>
  <c r="U43" i="1" l="1"/>
  <c r="J44" i="1" s="1"/>
  <c r="AQ44" i="1" s="1"/>
  <c r="BK43" i="1"/>
  <c r="D43" i="11"/>
  <c r="C74" i="14"/>
  <c r="C60" i="14"/>
  <c r="AQ44" i="8" l="1"/>
  <c r="AL44" i="5"/>
  <c r="C66" i="14"/>
  <c r="U44" i="1" l="1"/>
  <c r="J45" i="1" s="1"/>
  <c r="AQ45" i="1" s="1"/>
  <c r="BK44" i="1"/>
  <c r="D44" i="11"/>
  <c r="C76" i="14"/>
  <c r="C71" i="14"/>
  <c r="AQ45" i="8" l="1"/>
  <c r="AL45" i="5"/>
  <c r="C77" i="14"/>
  <c r="C75" i="14"/>
  <c r="U45" i="1" l="1"/>
  <c r="J46" i="1" s="1"/>
  <c r="AQ46" i="1" s="1"/>
  <c r="BK45" i="1"/>
  <c r="D45" i="11"/>
  <c r="C78" i="14"/>
  <c r="AQ46" i="8" l="1"/>
  <c r="AL46" i="5"/>
  <c r="C79" i="14"/>
  <c r="BK46" i="1" l="1"/>
  <c r="U46" i="1"/>
  <c r="J47" i="1" s="1"/>
  <c r="AQ47" i="1" s="1"/>
  <c r="D46" i="11"/>
  <c r="C80" i="14"/>
  <c r="AQ47" i="8" l="1"/>
  <c r="AL47" i="5"/>
  <c r="C81" i="14"/>
  <c r="U47" i="1" l="1"/>
  <c r="J48" i="1" s="1"/>
  <c r="AQ48" i="1" s="1"/>
  <c r="BK47" i="1"/>
  <c r="D47" i="11"/>
  <c r="C82" i="14"/>
  <c r="AQ48" i="8" l="1"/>
  <c r="AL48" i="5"/>
  <c r="C83" i="14"/>
  <c r="U48" i="1" l="1"/>
  <c r="J49" i="1" s="1"/>
  <c r="AQ49" i="1" s="1"/>
  <c r="BK48" i="1"/>
  <c r="D48" i="11"/>
  <c r="C84" i="14"/>
  <c r="AQ49" i="8" l="1"/>
  <c r="AL49" i="5"/>
  <c r="C85" i="14"/>
  <c r="U49" i="1" l="1"/>
  <c r="J50" i="1" s="1"/>
  <c r="AQ50" i="1" s="1"/>
  <c r="BK49" i="1"/>
  <c r="D49" i="11"/>
  <c r="C86" i="14"/>
  <c r="AQ50" i="8" l="1"/>
  <c r="AL50" i="5"/>
  <c r="C87" i="14"/>
  <c r="BK50" i="1" l="1"/>
  <c r="U50" i="1"/>
  <c r="J51" i="1" s="1"/>
  <c r="AQ51" i="1" s="1"/>
  <c r="D50" i="11"/>
  <c r="C88" i="14"/>
  <c r="AQ51" i="8" l="1"/>
  <c r="AL51" i="5"/>
  <c r="C89" i="14"/>
  <c r="BK51" i="1" l="1"/>
  <c r="U51" i="1"/>
  <c r="J52" i="1" s="1"/>
  <c r="AQ52" i="1" s="1"/>
  <c r="D51" i="11"/>
  <c r="C90" i="14"/>
  <c r="AQ52" i="8" l="1"/>
  <c r="AL52" i="5"/>
  <c r="C91" i="14"/>
  <c r="U52" i="1" l="1"/>
  <c r="J53" i="1" s="1"/>
  <c r="AQ53" i="1" s="1"/>
  <c r="BK52" i="1"/>
  <c r="D52" i="11"/>
  <c r="C92" i="14"/>
  <c r="AQ53" i="8" l="1"/>
  <c r="AL53" i="5"/>
  <c r="C93" i="14"/>
  <c r="U53" i="1" l="1"/>
  <c r="J54" i="1" s="1"/>
  <c r="AQ54" i="1" s="1"/>
  <c r="BK53" i="1"/>
  <c r="D53" i="11"/>
  <c r="C94" i="14"/>
  <c r="AQ54" i="8" l="1"/>
  <c r="AL54" i="5"/>
  <c r="C95" i="14"/>
  <c r="BK54" i="1" l="1"/>
  <c r="U54" i="1"/>
  <c r="J55" i="1" s="1"/>
  <c r="AQ55" i="1" s="1"/>
  <c r="D54" i="11"/>
  <c r="C96" i="14"/>
  <c r="AQ55" i="8" l="1"/>
  <c r="AL55" i="5"/>
  <c r="C97" i="14"/>
  <c r="BK55" i="1" l="1"/>
  <c r="U55" i="1"/>
  <c r="J56" i="1" s="1"/>
  <c r="AQ56" i="1" s="1"/>
  <c r="D55" i="11"/>
  <c r="C98" i="14"/>
  <c r="AQ56" i="8" l="1"/>
  <c r="AL56" i="5"/>
  <c r="C99" i="14"/>
  <c r="BK56" i="1" l="1"/>
  <c r="U56" i="1"/>
  <c r="J57" i="1" s="1"/>
  <c r="AQ57" i="1" s="1"/>
  <c r="D56" i="11"/>
  <c r="C100" i="14"/>
  <c r="AQ57" i="8" l="1"/>
  <c r="AL57" i="5"/>
  <c r="C101" i="14"/>
  <c r="U57" i="1" l="1"/>
  <c r="J58" i="1" s="1"/>
  <c r="AQ58" i="1" s="1"/>
  <c r="BK57" i="1"/>
  <c r="D57" i="11"/>
  <c r="C102" i="14"/>
  <c r="AQ58" i="8" l="1"/>
  <c r="AL58" i="5"/>
  <c r="C103" i="14"/>
  <c r="U58" i="1" l="1"/>
  <c r="J59" i="1" s="1"/>
  <c r="AQ59" i="1" s="1"/>
  <c r="BK58" i="1"/>
  <c r="D58" i="11"/>
  <c r="C104" i="14"/>
  <c r="AQ59" i="8" l="1"/>
  <c r="AL59" i="5"/>
  <c r="C105" i="14"/>
  <c r="U59" i="1" l="1"/>
  <c r="J60" i="1" s="1"/>
  <c r="AQ60" i="1" s="1"/>
  <c r="BK59" i="1"/>
  <c r="D59" i="11"/>
  <c r="C106" i="14"/>
  <c r="AQ60" i="8" l="1"/>
  <c r="AL60" i="5"/>
  <c r="C107" i="14"/>
  <c r="U60" i="1" l="1"/>
  <c r="J61" i="1" s="1"/>
  <c r="AQ61" i="1" s="1"/>
  <c r="BK60" i="1"/>
  <c r="D60" i="11"/>
  <c r="C108" i="14"/>
  <c r="AQ61" i="8" l="1"/>
  <c r="AL61" i="5"/>
  <c r="C109" i="14"/>
  <c r="BK61" i="1" l="1"/>
  <c r="U61" i="1"/>
  <c r="J62" i="1" s="1"/>
  <c r="AQ62" i="1" s="1"/>
  <c r="D61" i="11"/>
  <c r="C110" i="14"/>
  <c r="AQ62" i="8" l="1"/>
  <c r="AL62" i="5"/>
  <c r="C111" i="14"/>
  <c r="U62" i="1" l="1"/>
  <c r="J63" i="1" s="1"/>
  <c r="AQ63" i="1" s="1"/>
  <c r="BK62" i="1"/>
  <c r="D62" i="11"/>
  <c r="C112" i="14"/>
  <c r="AQ63" i="8" l="1"/>
  <c r="AL63" i="5"/>
  <c r="C113" i="14"/>
  <c r="BK63" i="1" l="1"/>
  <c r="U63" i="1"/>
  <c r="J64" i="1" s="1"/>
  <c r="AQ64" i="1" s="1"/>
  <c r="D63" i="11"/>
  <c r="C114" i="14"/>
  <c r="AQ64" i="8" l="1"/>
  <c r="AL64" i="5"/>
  <c r="C115" i="14"/>
  <c r="BK64" i="1" l="1"/>
  <c r="U64" i="1"/>
  <c r="J65" i="1" s="1"/>
  <c r="AQ65" i="1" s="1"/>
  <c r="D64" i="11"/>
  <c r="C116" i="14"/>
  <c r="AQ65" i="8" l="1"/>
  <c r="AL65" i="5"/>
  <c r="C117" i="14"/>
  <c r="U65" i="1" l="1"/>
  <c r="J66" i="1" s="1"/>
  <c r="AQ66" i="1" s="1"/>
  <c r="BK65" i="1"/>
  <c r="D65" i="11"/>
  <c r="C118" i="14"/>
  <c r="AQ66" i="8" l="1"/>
  <c r="AL66" i="5"/>
  <c r="C119" i="14"/>
  <c r="U66" i="1" l="1"/>
  <c r="J67" i="1" s="1"/>
  <c r="AQ67" i="1" s="1"/>
  <c r="BK66" i="1"/>
  <c r="D66" i="11"/>
  <c r="C120" i="14"/>
  <c r="AQ67" i="8" l="1"/>
  <c r="AL67" i="5"/>
  <c r="C121" i="14"/>
  <c r="U67" i="1" l="1"/>
  <c r="J68" i="1" s="1"/>
  <c r="AQ68" i="1" s="1"/>
  <c r="BK67" i="1"/>
  <c r="D67" i="11"/>
  <c r="C122" i="14"/>
  <c r="AQ68" i="8" l="1"/>
  <c r="AL68" i="5"/>
  <c r="C123" i="14"/>
  <c r="U68" i="1" l="1"/>
  <c r="J69" i="1" s="1"/>
  <c r="AQ69" i="1" s="1"/>
  <c r="BK68" i="1"/>
  <c r="D68" i="11"/>
  <c r="C124" i="14"/>
  <c r="AQ69" i="8" l="1"/>
  <c r="AL69" i="5"/>
  <c r="C125" i="14"/>
  <c r="U69" i="1" l="1"/>
  <c r="J70" i="1" s="1"/>
  <c r="AQ70" i="1" s="1"/>
  <c r="BK69" i="1"/>
  <c r="D69" i="11"/>
  <c r="C126" i="14"/>
  <c r="AQ70" i="8" l="1"/>
  <c r="AL70" i="5"/>
  <c r="C127" i="14"/>
  <c r="U70" i="1" l="1"/>
  <c r="J71" i="1" s="1"/>
  <c r="AQ71" i="1" s="1"/>
  <c r="BK70" i="1"/>
  <c r="D70" i="11"/>
  <c r="C128" i="14"/>
  <c r="AQ71" i="8" l="1"/>
  <c r="AL71" i="5"/>
  <c r="C129" i="14"/>
  <c r="U71" i="1" l="1"/>
  <c r="J72" i="1" s="1"/>
  <c r="AQ72" i="1" s="1"/>
  <c r="BK71" i="1"/>
  <c r="D71" i="11"/>
  <c r="C130" i="14"/>
  <c r="AQ72" i="8" l="1"/>
  <c r="AL72" i="5"/>
  <c r="C131" i="14"/>
  <c r="U72" i="1" l="1"/>
  <c r="J73" i="1" s="1"/>
  <c r="AQ73" i="1" s="1"/>
  <c r="BK72" i="1"/>
  <c r="D72" i="11"/>
  <c r="C132" i="14"/>
  <c r="AQ73" i="8" l="1"/>
  <c r="AL73" i="5"/>
  <c r="C133" i="14"/>
  <c r="U73" i="1" l="1"/>
  <c r="J74" i="1" s="1"/>
  <c r="AQ74" i="1" s="1"/>
  <c r="BK73" i="1"/>
  <c r="D73" i="11"/>
  <c r="C134" i="14"/>
  <c r="AQ74" i="8" l="1"/>
  <c r="AL74" i="5"/>
  <c r="C136" i="14"/>
  <c r="C135" i="14"/>
  <c r="U74" i="1" l="1"/>
  <c r="J75" i="1" s="1"/>
  <c r="AQ75" i="1" s="1"/>
  <c r="BK74" i="1"/>
  <c r="D74" i="11"/>
  <c r="AQ75" i="8" l="1"/>
  <c r="AL75" i="5"/>
  <c r="BK75" i="1" l="1"/>
  <c r="U75" i="1"/>
  <c r="J76" i="1" s="1"/>
  <c r="AQ76" i="1" s="1"/>
  <c r="D75" i="11"/>
  <c r="AQ76" i="8" l="1"/>
  <c r="U76" i="1"/>
  <c r="J77" i="1" s="1"/>
  <c r="AQ77" i="1" s="1"/>
  <c r="AL76" i="5"/>
  <c r="BK76" i="1"/>
  <c r="B62" i="4"/>
  <c r="D76" i="11"/>
  <c r="AQ77" i="8" l="1"/>
  <c r="U77" i="1"/>
  <c r="J78" i="1" s="1"/>
  <c r="AQ78" i="1" s="1"/>
  <c r="AL77" i="5"/>
  <c r="BK77" i="1"/>
  <c r="D77" i="11"/>
  <c r="AQ78" i="8" l="1"/>
  <c r="U78" i="1"/>
  <c r="J79" i="1" s="1"/>
  <c r="AQ79" i="1" s="1"/>
  <c r="AL78" i="5"/>
  <c r="BK78" i="1"/>
  <c r="D78" i="11"/>
  <c r="AQ79" i="8" l="1"/>
  <c r="U79" i="1"/>
  <c r="J80" i="1" s="1"/>
  <c r="AQ80" i="1" s="1"/>
  <c r="AL79" i="5"/>
  <c r="BK79" i="1"/>
  <c r="D79" i="11"/>
  <c r="AQ80" i="8" l="1"/>
  <c r="U80" i="1"/>
  <c r="J81" i="1" s="1"/>
  <c r="AQ81" i="1" s="1"/>
  <c r="AL80" i="5"/>
  <c r="BK80" i="1"/>
  <c r="D80" i="11"/>
  <c r="AQ81" i="8" l="1"/>
  <c r="U81" i="1"/>
  <c r="J82" i="1" s="1"/>
  <c r="AQ82" i="1" s="1"/>
  <c r="AL81" i="5"/>
  <c r="BK81" i="1"/>
  <c r="D81" i="11"/>
  <c r="AQ82" i="8" l="1"/>
  <c r="U82" i="1"/>
  <c r="J83" i="1" s="1"/>
  <c r="AQ83" i="1" s="1"/>
  <c r="AL82" i="5"/>
  <c r="BK82" i="1"/>
  <c r="D82" i="11"/>
  <c r="AQ83" i="8" l="1"/>
  <c r="U83" i="1"/>
  <c r="J84" i="1" s="1"/>
  <c r="AQ84" i="1" s="1"/>
  <c r="AL83" i="5"/>
  <c r="BK83" i="1"/>
  <c r="D83" i="11"/>
  <c r="AQ84" i="8" l="1"/>
  <c r="U84" i="1"/>
  <c r="J85" i="1" s="1"/>
  <c r="AQ85" i="1" s="1"/>
  <c r="AL84" i="5"/>
  <c r="BK84" i="1"/>
  <c r="D84" i="11"/>
  <c r="AQ85" i="8" l="1"/>
  <c r="U85" i="1"/>
  <c r="J86" i="1" s="1"/>
  <c r="AQ86" i="1" s="1"/>
  <c r="AL85" i="5"/>
  <c r="BK85" i="1"/>
  <c r="D85" i="11"/>
  <c r="AQ86" i="8" l="1"/>
  <c r="U86" i="1"/>
  <c r="J87" i="1" s="1"/>
  <c r="AQ87" i="1" s="1"/>
  <c r="AL86" i="5"/>
  <c r="BK86" i="1"/>
  <c r="D86" i="11"/>
  <c r="AQ87" i="8" l="1"/>
  <c r="U87" i="1"/>
  <c r="J88" i="1" s="1"/>
  <c r="AQ88" i="1" s="1"/>
  <c r="AL87" i="5"/>
  <c r="BK87" i="1"/>
  <c r="D87" i="11"/>
  <c r="AQ88" i="8" l="1"/>
  <c r="U88" i="1"/>
  <c r="J89" i="1" s="1"/>
  <c r="AQ89" i="1" s="1"/>
  <c r="AL88" i="5"/>
  <c r="BK88" i="1"/>
  <c r="D88" i="11"/>
  <c r="AQ89" i="8" l="1"/>
  <c r="U89" i="1"/>
  <c r="J90" i="1" s="1"/>
  <c r="AQ90" i="1" s="1"/>
  <c r="AL89" i="5"/>
  <c r="BK89" i="1"/>
  <c r="D89" i="11"/>
  <c r="AQ90" i="8" l="1"/>
  <c r="U90" i="1"/>
  <c r="J91" i="1" s="1"/>
  <c r="AQ91" i="1" s="1"/>
  <c r="AL90" i="5"/>
  <c r="BK90" i="1"/>
  <c r="D90" i="11"/>
  <c r="AQ91" i="8" l="1"/>
  <c r="U91" i="1"/>
  <c r="J92" i="1" s="1"/>
  <c r="AQ92" i="1" s="1"/>
  <c r="AL91" i="5"/>
  <c r="BK91" i="1"/>
  <c r="D91" i="11"/>
  <c r="AQ92" i="8" l="1"/>
  <c r="U92" i="1"/>
  <c r="J93" i="1" s="1"/>
  <c r="AQ93" i="1" s="1"/>
  <c r="AL92" i="5"/>
  <c r="BK92" i="1"/>
  <c r="D92" i="11"/>
  <c r="AQ93" i="8" l="1"/>
  <c r="U93" i="1"/>
  <c r="J94" i="1" s="1"/>
  <c r="AQ94" i="1" s="1"/>
  <c r="AL93" i="5"/>
  <c r="BK93" i="1"/>
  <c r="D93" i="11"/>
  <c r="AQ94" i="8" l="1"/>
  <c r="U94" i="1"/>
  <c r="J95" i="1" s="1"/>
  <c r="AQ95" i="1" s="1"/>
  <c r="AL94" i="5"/>
  <c r="BK94" i="1"/>
  <c r="D94" i="11"/>
  <c r="AQ95" i="8" l="1"/>
  <c r="U95" i="1"/>
  <c r="J96" i="1" s="1"/>
  <c r="AQ96" i="1" s="1"/>
  <c r="AL95" i="5"/>
  <c r="BK95" i="1"/>
  <c r="D95" i="11"/>
  <c r="AQ96" i="8" l="1"/>
  <c r="U96" i="1"/>
  <c r="J97" i="1" s="1"/>
  <c r="AQ97" i="1" s="1"/>
  <c r="AL96" i="5"/>
  <c r="BK96" i="1"/>
  <c r="D96" i="11"/>
  <c r="AQ97" i="8" l="1"/>
  <c r="U97" i="1"/>
  <c r="J98" i="1" s="1"/>
  <c r="AQ98" i="1" s="1"/>
  <c r="AL97" i="5"/>
  <c r="BK97" i="1"/>
  <c r="D97" i="11"/>
  <c r="AQ98" i="8" l="1"/>
  <c r="U98" i="1"/>
  <c r="J99" i="1" s="1"/>
  <c r="AQ99" i="1" s="1"/>
  <c r="AL98" i="5"/>
  <c r="BK98" i="1"/>
  <c r="D98" i="11"/>
  <c r="AQ99" i="8" l="1"/>
  <c r="U99" i="1"/>
  <c r="J100" i="1" s="1"/>
  <c r="AQ100" i="1" s="1"/>
  <c r="AL99" i="5"/>
  <c r="BK99" i="1"/>
  <c r="D99" i="11"/>
  <c r="AQ100" i="8" l="1"/>
  <c r="U100" i="1"/>
  <c r="J101" i="1" s="1"/>
  <c r="AQ101" i="1" s="1"/>
  <c r="AL100" i="5"/>
  <c r="BK100" i="1"/>
  <c r="D100" i="11"/>
  <c r="AQ101" i="8" l="1"/>
  <c r="U101" i="1"/>
  <c r="J102" i="1" s="1"/>
  <c r="AQ102" i="1" s="1"/>
  <c r="AL101" i="5"/>
  <c r="BK101" i="1"/>
  <c r="D101" i="11"/>
  <c r="AQ102" i="8" l="1"/>
  <c r="U102" i="1"/>
  <c r="J103" i="1" s="1"/>
  <c r="AQ103" i="1" s="1"/>
  <c r="AL102" i="5"/>
  <c r="BK102" i="1"/>
  <c r="D102" i="11"/>
  <c r="AQ103" i="8" l="1"/>
  <c r="U103" i="1"/>
  <c r="J104" i="1" s="1"/>
  <c r="AQ104" i="1" s="1"/>
  <c r="AL103" i="5"/>
  <c r="BK103" i="1"/>
  <c r="D103" i="11"/>
  <c r="AQ104" i="8" l="1"/>
  <c r="U104" i="1"/>
  <c r="J105" i="1" s="1"/>
  <c r="AQ105" i="1" s="1"/>
  <c r="AL104" i="5"/>
  <c r="BK104" i="1"/>
  <c r="D104" i="11"/>
  <c r="AQ105" i="8" l="1"/>
  <c r="U105" i="1"/>
  <c r="J106" i="1" s="1"/>
  <c r="AQ106" i="1" s="1"/>
  <c r="AL105" i="5"/>
  <c r="BK105" i="1"/>
  <c r="D105" i="11"/>
  <c r="AQ106" i="8" l="1"/>
  <c r="U106" i="1"/>
  <c r="J107" i="1" s="1"/>
  <c r="AQ107" i="1" s="1"/>
  <c r="AL106" i="5"/>
  <c r="BK106" i="1"/>
  <c r="D106" i="11"/>
  <c r="AQ107" i="8" l="1"/>
  <c r="U107" i="1"/>
  <c r="J108" i="1" s="1"/>
  <c r="AQ108" i="1" s="1"/>
  <c r="AL107" i="5"/>
  <c r="BK107" i="1"/>
  <c r="D107" i="11"/>
  <c r="AQ108" i="8" l="1"/>
  <c r="U108" i="1"/>
  <c r="J109" i="1" s="1"/>
  <c r="AQ109" i="1" s="1"/>
  <c r="AL108" i="5"/>
  <c r="BK108" i="1"/>
  <c r="D108" i="11"/>
  <c r="AQ109" i="8" l="1"/>
  <c r="U109" i="1"/>
  <c r="J110" i="1" s="1"/>
  <c r="AQ110" i="1" s="1"/>
  <c r="AL109" i="5"/>
  <c r="BK109" i="1"/>
  <c r="D109" i="11"/>
  <c r="AQ110" i="8" l="1"/>
  <c r="U110" i="1"/>
  <c r="J111" i="1" s="1"/>
  <c r="AQ111" i="1" s="1"/>
  <c r="AL110" i="5"/>
  <c r="BK110" i="1"/>
  <c r="D110" i="11"/>
  <c r="AQ111" i="8" l="1"/>
  <c r="U111" i="1"/>
  <c r="J112" i="1" s="1"/>
  <c r="AQ112" i="1" s="1"/>
  <c r="AL111" i="5"/>
  <c r="BK111" i="1"/>
  <c r="D111" i="11"/>
  <c r="AQ112" i="8" l="1"/>
  <c r="U112" i="1"/>
  <c r="J113" i="1" s="1"/>
  <c r="AQ113" i="1" s="1"/>
  <c r="AL112" i="5"/>
  <c r="BK112" i="1"/>
  <c r="D112" i="11"/>
  <c r="AQ113" i="8" l="1"/>
  <c r="U113" i="1"/>
  <c r="J114" i="1" s="1"/>
  <c r="AQ114" i="1" s="1"/>
  <c r="AL113" i="5"/>
  <c r="BK113" i="1"/>
  <c r="D113" i="11"/>
  <c r="AQ114" i="8" l="1"/>
  <c r="U114" i="1"/>
  <c r="J115" i="1" s="1"/>
  <c r="AQ115" i="1" s="1"/>
  <c r="AL114" i="5"/>
  <c r="BK114" i="1"/>
  <c r="D114" i="11"/>
  <c r="AQ115" i="8" l="1"/>
  <c r="U115" i="1"/>
  <c r="J116" i="1" s="1"/>
  <c r="AQ116" i="1" s="1"/>
  <c r="AL115" i="5"/>
  <c r="BK115" i="1"/>
  <c r="D115" i="11"/>
  <c r="AQ116" i="8" l="1"/>
  <c r="U116" i="1"/>
  <c r="J117" i="1" s="1"/>
  <c r="AQ117" i="1" s="1"/>
  <c r="AL116" i="5"/>
  <c r="BK116" i="1"/>
  <c r="D116" i="11"/>
  <c r="AQ117" i="8" l="1"/>
  <c r="U117" i="1"/>
  <c r="J118" i="1" s="1"/>
  <c r="AQ118" i="1" s="1"/>
  <c r="AL117" i="5"/>
  <c r="BK117" i="1"/>
  <c r="D117" i="11"/>
  <c r="AQ118" i="8" l="1"/>
  <c r="U118" i="1"/>
  <c r="J119" i="1" s="1"/>
  <c r="AQ119" i="1" s="1"/>
  <c r="AL118" i="5"/>
  <c r="BK118" i="1"/>
  <c r="D118" i="11"/>
  <c r="AQ119" i="8" l="1"/>
  <c r="U119" i="1"/>
  <c r="J120" i="1" s="1"/>
  <c r="AQ120" i="1" s="1"/>
  <c r="AL119" i="5"/>
  <c r="BK119" i="1"/>
  <c r="D119" i="11"/>
  <c r="AQ120" i="8" l="1"/>
  <c r="U120" i="1"/>
  <c r="J121" i="1" s="1"/>
  <c r="AQ121" i="1" s="1"/>
  <c r="AL120" i="5"/>
  <c r="BK120" i="1"/>
  <c r="D120" i="11"/>
  <c r="AQ121" i="8" l="1"/>
  <c r="U121" i="1"/>
  <c r="J122" i="1" s="1"/>
  <c r="AQ122" i="1" s="1"/>
  <c r="AL121" i="5"/>
  <c r="BK121" i="1"/>
  <c r="D121" i="11"/>
  <c r="AQ122" i="8" l="1"/>
  <c r="U122" i="1"/>
  <c r="J123" i="1" s="1"/>
  <c r="AQ123" i="1" s="1"/>
  <c r="AL122" i="5"/>
  <c r="BK122" i="1"/>
  <c r="D122" i="11"/>
  <c r="AQ123" i="8" l="1"/>
  <c r="U123" i="1"/>
  <c r="J124" i="1" s="1"/>
  <c r="AQ124" i="1" s="1"/>
  <c r="AL123" i="5"/>
  <c r="BK123" i="1"/>
  <c r="D123" i="11"/>
  <c r="AQ124" i="8" l="1"/>
  <c r="U124" i="1"/>
  <c r="J125" i="1" s="1"/>
  <c r="AQ125" i="1" s="1"/>
  <c r="AL124" i="5"/>
  <c r="BK124" i="1"/>
  <c r="D124" i="11"/>
  <c r="AQ125" i="8" l="1"/>
  <c r="U125" i="1"/>
  <c r="J126" i="1" s="1"/>
  <c r="AQ126" i="1" s="1"/>
  <c r="AL125" i="5"/>
  <c r="BK125" i="1"/>
  <c r="D125" i="11"/>
  <c r="AQ126" i="8" l="1"/>
  <c r="U126" i="1"/>
  <c r="J127" i="1" s="1"/>
  <c r="AQ127" i="1" s="1"/>
  <c r="AL126" i="5"/>
  <c r="BK126" i="1"/>
  <c r="D126" i="11"/>
  <c r="AQ127" i="8" l="1"/>
  <c r="U127" i="1"/>
  <c r="J128" i="1" s="1"/>
  <c r="AQ128" i="1" s="1"/>
  <c r="AL127" i="5"/>
  <c r="BK127" i="1"/>
  <c r="D127" i="11"/>
  <c r="AQ128" i="8" l="1"/>
  <c r="U128" i="1"/>
  <c r="J129" i="1" s="1"/>
  <c r="AQ129" i="1" s="1"/>
  <c r="AL128" i="5"/>
  <c r="BK128" i="1"/>
  <c r="D128" i="11"/>
  <c r="AQ129" i="8" l="1"/>
  <c r="U129" i="1"/>
  <c r="J130" i="1" s="1"/>
  <c r="AQ130" i="1" s="1"/>
  <c r="AL129" i="5"/>
  <c r="BK129" i="1"/>
  <c r="D129" i="11"/>
  <c r="AQ130" i="8" l="1"/>
  <c r="U130" i="1"/>
  <c r="J131" i="1" s="1"/>
  <c r="AQ131" i="1" s="1"/>
  <c r="AL130" i="5"/>
  <c r="BK130" i="1"/>
  <c r="D130" i="11"/>
  <c r="AQ131" i="8" l="1"/>
  <c r="U131" i="1"/>
  <c r="J132" i="1" s="1"/>
  <c r="AQ132" i="1" s="1"/>
  <c r="AL131" i="5"/>
  <c r="BK131" i="1"/>
  <c r="D131" i="11"/>
  <c r="AQ132" i="8" l="1"/>
  <c r="U132" i="1"/>
  <c r="J133" i="1" s="1"/>
  <c r="AQ133" i="1" s="1"/>
  <c r="AL132" i="5"/>
  <c r="BK132" i="1"/>
  <c r="D132" i="11"/>
  <c r="AQ133" i="8" l="1"/>
  <c r="U133" i="1"/>
  <c r="J134" i="1" s="1"/>
  <c r="AQ134" i="1" s="1"/>
  <c r="AL133" i="5"/>
  <c r="BK133" i="1"/>
  <c r="D133" i="11"/>
  <c r="AQ134" i="8" l="1"/>
  <c r="U134" i="1"/>
  <c r="J135" i="1" s="1"/>
  <c r="AQ135" i="1" s="1"/>
  <c r="AL134" i="5"/>
  <c r="BK134" i="1"/>
  <c r="D134" i="11"/>
  <c r="AQ135" i="8" l="1"/>
  <c r="U135" i="1"/>
  <c r="J136" i="1" s="1"/>
  <c r="AQ136" i="1" s="1"/>
  <c r="AL135" i="5"/>
  <c r="BK135" i="1"/>
  <c r="D135" i="11"/>
  <c r="AQ136" i="8" l="1"/>
  <c r="U136" i="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J66" i="11"/>
  <c r="AP66" i="1"/>
  <c r="T66" i="1" s="1"/>
  <c r="I67" i="1" s="1"/>
  <c r="G66" i="2"/>
  <c r="Z66" i="2" l="1"/>
  <c r="C66" i="8"/>
  <c r="AO67" i="1"/>
  <c r="BJ67" i="1"/>
  <c r="P66" i="7"/>
  <c r="F66" i="9"/>
  <c r="AA67" i="8" l="1"/>
  <c r="Y66" i="2"/>
  <c r="X66" i="2" s="1"/>
  <c r="H67" i="11" l="1"/>
  <c r="E67" i="2"/>
  <c r="L67" i="2" s="1"/>
  <c r="B67" i="8"/>
  <c r="D67" i="2" s="1"/>
  <c r="AV67" i="8"/>
  <c r="AB67" i="7"/>
  <c r="U67" i="2" l="1"/>
  <c r="W66" i="2" s="1"/>
  <c r="C67" i="2" s="1"/>
  <c r="H67" i="1" s="1"/>
  <c r="AP67" i="8" l="1"/>
  <c r="M26" i="7" s="1"/>
  <c r="V67" i="10"/>
  <c r="AK67" i="5"/>
  <c r="C67" i="11"/>
  <c r="J56" i="4"/>
  <c r="BI67" i="1"/>
  <c r="I56" i="4"/>
  <c r="AC67" i="7"/>
  <c r="AJ67" i="7" s="1"/>
  <c r="I67" i="2"/>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<sst xmlns="http://schemas.openxmlformats.org/spreadsheetml/2006/main" count="3037" uniqueCount="1144">
  <si>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</si>
  <si>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</si>
  <si>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</si>
  <si>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</si>
  <si>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</si>
  <si>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</si>
  <si>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</si>
  <si>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</si>
  <si>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</si>
  <si>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</si>
  <si>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</si>
  <si>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</si>
  <si>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</si>
  <si>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</si>
  <si>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</si>
  <si>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</si>
  <si>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</si>
  <si>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</si>
  <si>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</si>
  <si>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</si>
  <si>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</si>
  <si>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</si>
  <si>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</si>
  <si>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</si>
  <si>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</si>
  <si>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</si>
  <si>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</si>
  <si>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</si>
  <si>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</si>
  <si>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</si>
  <si>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</si>
  <si>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</si>
  <si>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</si>
  <si>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</si>
  <si>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</si>
  <si>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</si>
  <si>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</si>
  <si>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</si>
  <si>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</si>
  <si>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</si>
  <si>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</si>
  <si>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</si>
  <si>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</si>
  <si>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</si>
  <si>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</si>
  <si>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</si>
  <si>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</si>
  <si>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</si>
  <si>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</si>
  <si>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</si>
  <si>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</si>
  <si>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</si>
  <si>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</si>
  <si>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</si>
  <si>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</si>
  <si>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</si>
  <si>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</si>
  <si>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</si>
  <si>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</si>
  <si>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</si>
  <si>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</si>
  <si>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</si>
  <si>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</si>
  <si>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</si>
  <si>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</si>
  <si>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</si>
  <si>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</si>
  <si>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</si>
  <si>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</si>
  <si>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</si>
  <si>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</si>
  <si>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</si>
  <si>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</si>
  <si>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</si>
  <si>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</si>
  <si>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</si>
  <si>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</si>
  <si>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</si>
  <si>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</si>
  <si>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</si>
  <si>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</si>
  <si>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</si>
  <si>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</si>
  <si>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</si>
  <si>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</si>
  <si>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</si>
  <si>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</si>
  <si>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</si>
  <si>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</si>
  <si>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</si>
  <si>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</si>
  <si>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</si>
  <si>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</si>
  <si>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</si>
  <si>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</si>
  <si>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</si>
  <si>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</si>
  <si>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</si>
  <si>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</si>
  <si>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</si>
  <si>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</si>
  <si>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</si>
  <si>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</si>
  <si>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</si>
  <si>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</si>
  <si>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</si>
  <si>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</si>
  <si>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</si>
  <si>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</si>
  <si>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</si>
  <si>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</si>
  <si>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</si>
  <si>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</si>
  <si>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</si>
  <si>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</si>
  <si>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</si>
  <si>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</si>
  <si>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</si>
  <si>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</si>
  <si>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</si>
  <si>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</si>
  <si>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</si>
  <si>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</si>
  <si>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</si>
  <si>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</si>
  <si>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</si>
  <si>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</si>
  <si>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</si>
  <si>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</si>
  <si>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</si>
  <si>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</si>
  <si>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</si>
  <si>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</si>
  <si>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</si>
  <si>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</si>
  <si>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</si>
  <si>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</si>
  <si>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</si>
  <si>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</si>
  <si>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</si>
  <si>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</si>
  <si>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</si>
  <si>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</si>
  <si>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</si>
  <si>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</si>
  <si>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</si>
  <si>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</si>
  <si>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</si>
  <si>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</si>
  <si>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</si>
  <si>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</si>
  <si>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</si>
  <si>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</si>
  <si>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</si>
  <si>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</si>
  <si>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</si>
  <si>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</si>
  <si>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</si>
  <si>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</si>
  <si>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</si>
  <si>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</si>
  <si>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</si>
  <si>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</si>
  <si>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</si>
  <si>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</si>
  <si>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</si>
  <si>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</si>
  <si>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</si>
  <si>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</si>
  <si>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</si>
  <si>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</si>
  <si>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</si>
  <si>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</si>
  <si>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</si>
  <si>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</si>
  <si>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</si>
  <si>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</si>
  <si>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</si>
  <si>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</si>
  <si>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</si>
  <si>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</si>
  <si>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</si>
  <si>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</si>
  <si>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</si>
  <si>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</si>
  <si>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</si>
  <si>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</si>
  <si>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</si>
  <si>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</si>
  <si>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</si>
  <si>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</si>
  <si>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</si>
  <si>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</si>
  <si>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</si>
  <si>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</si>
  <si>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</si>
  <si>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</si>
  <si>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</si>
  <si>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</si>
  <si>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</si>
  <si>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</si>
  <si>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</si>
  <si>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</si>
  <si>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</si>
  <si>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</si>
  <si>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</si>
  <si>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</si>
  <si>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</si>
  <si>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</si>
  <si>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</si>
  <si>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</si>
  <si>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</si>
  <si>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</si>
  <si>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</si>
  <si>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</si>
  <si>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</si>
  <si>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</si>
  <si>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</si>
  <si>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</si>
  <si>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</si>
  <si>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</si>
  <si>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</si>
  <si>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</si>
  <si>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</si>
  <si>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</si>
  <si>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</si>
  <si>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</si>
  <si>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</si>
  <si>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</si>
  <si>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</si>
  <si>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</si>
  <si>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</si>
  <si>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</si>
  <si>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</si>
  <si>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</si>
  <si>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</si>
  <si>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</si>
  <si>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</si>
  <si>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</si>
  <si>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</si>
  <si>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</si>
  <si>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</si>
  <si>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</si>
  <si>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</si>
  <si>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</si>
  <si>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</si>
  <si>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</si>
  <si>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</si>
  <si>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</si>
  <si>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</si>
  <si>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</si>
  <si>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</si>
  <si>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</si>
  <si>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</si>
  <si>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</si>
  <si>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</si>
  <si>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</si>
  <si>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</si>
  <si>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</si>
  <si>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</si>
  <si>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</si>
  <si>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</si>
  <si>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</si>
  <si>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</si>
  <si>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</si>
  <si>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</si>
  <si>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</si>
  <si>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</si>
  <si>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</si>
  <si>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</si>
  <si>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</si>
  <si>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</si>
  <si>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</si>
  <si>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</si>
  <si>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</si>
  <si>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</si>
  <si>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</si>
  <si>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</si>
  <si>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</si>
  <si>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</si>
  <si>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</si>
  <si>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</si>
  <si>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</si>
  <si>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</si>
  <si>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</si>
  <si>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</si>
  <si>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</si>
  <si>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</si>
  <si>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</si>
  <si>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</si>
  <si>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</si>
  <si>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</si>
  <si>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</si>
  <si>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</si>
  <si>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</si>
  <si>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</si>
  <si>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</si>
  <si>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</si>
  <si>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</si>
  <si>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</si>
  <si>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</si>
  <si>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</si>
  <si>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</si>
  <si>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</si>
  <si>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</si>
  <si>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</si>
  <si>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</si>
  <si>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</si>
  <si>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</si>
  <si>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</si>
  <si>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</si>
  <si>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</si>
  <si>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</si>
  <si>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</si>
  <si>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</si>
  <si>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</si>
  <si>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</si>
  <si>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</si>
  <si>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</si>
  <si>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</si>
  <si>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</si>
  <si>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</si>
  <si>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</si>
  <si>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</si>
  <si>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</si>
  <si>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</si>
  <si>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</si>
  <si>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</si>
  <si>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</si>
  <si>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</si>
  <si>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</si>
  <si>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</si>
  <si>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</si>
  <si>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</si>
  <si>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</si>
  <si>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</si>
  <si>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</si>
  <si>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</si>
  <si>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</si>
  <si>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</si>
  <si>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</si>
  <si>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</si>
  <si>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</si>
  <si>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</si>
  <si>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</si>
  <si>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</si>
  <si>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</si>
  <si>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</si>
  <si>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</si>
  <si>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</si>
  <si>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</si>
  <si>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</si>
  <si>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</si>
  <si>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</si>
  <si>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</si>
  <si>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</si>
  <si>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</si>
  <si>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</si>
  <si>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</si>
  <si>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</si>
  <si>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</si>
  <si>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</si>
  <si>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</si>
  <si>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</si>
  <si>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</si>
  <si>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</si>
  <si>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</si>
  <si>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</si>
  <si>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</si>
  <si>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</si>
  <si>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</si>
  <si>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</si>
  <si>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</si>
  <si>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</si>
  <si>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</si>
  <si>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</si>
  <si>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</si>
  <si>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</si>
  <si>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</si>
  <si>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</si>
  <si>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</si>
  <si>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</si>
  <si>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</si>
  <si>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</si>
  <si>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</si>
  <si>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</si>
  <si>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</si>
  <si>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</si>
  <si>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</si>
  <si>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</si>
  <si>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</si>
  <si>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</si>
  <si>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</si>
  <si>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</si>
  <si>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</si>
  <si>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</si>
  <si>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</si>
  <si>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</si>
  <si>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</si>
  <si>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</si>
  <si>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</si>
  <si>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</si>
  <si>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</si>
  <si>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</si>
  <si>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</si>
  <si>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</si>
  <si>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</si>
  <si>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</si>
  <si>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</si>
  <si>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</si>
  <si>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</si>
  <si>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</si>
  <si>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</si>
  <si>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</si>
  <si>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</si>
  <si>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</si>
  <si>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</si>
  <si>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</si>
  <si>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</si>
  <si>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</si>
  <si>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</si>
  <si>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</si>
  <si>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</si>
  <si>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</si>
  <si>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</si>
  <si>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</si>
  <si>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</si>
  <si>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</si>
  <si>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</si>
  <si>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</si>
  <si>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</si>
  <si>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</si>
  <si>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</si>
  <si>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</si>
  <si>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</si>
  <si>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</si>
  <si>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</si>
  <si>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</si>
  <si>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</si>
  <si>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</si>
  <si>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</si>
  <si>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</si>
  <si>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</si>
  <si>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</si>
  <si>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</si>
  <si>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</si>
  <si>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</si>
  <si>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</si>
  <si>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</si>
  <si>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</si>
  <si>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</si>
  <si>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</si>
  <si>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</si>
  <si>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</si>
  <si>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</si>
  <si>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</si>
  <si>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</si>
  <si>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</si>
  <si>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</si>
  <si>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</si>
  <si>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</si>
  <si>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</si>
  <si>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</si>
  <si>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</si>
  <si>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</si>
  <si>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</si>
  <si>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</si>
  <si>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</si>
  <si>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</si>
  <si>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</si>
  <si>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</si>
  <si>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</si>
  <si>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</si>
  <si>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</si>
  <si>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</si>
  <si>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</si>
  <si>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</si>
  <si>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</si>
  <si>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</si>
  <si>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</si>
  <si>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</si>
  <si>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</si>
  <si>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</si>
  <si>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</si>
  <si>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</si>
  <si>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</si>
  <si>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</si>
  <si>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</si>
  <si>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</si>
  <si>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</si>
  <si>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</si>
  <si>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</si>
  <si>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</si>
  <si>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</si>
  <si>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</si>
  <si>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</si>
  <si>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</si>
  <si>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</si>
  <si>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</si>
  <si>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</si>
  <si>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</si>
  <si>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</si>
  <si>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</si>
  <si>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</si>
  <si>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</si>
  <si>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</si>
  <si>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</si>
  <si>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</si>
  <si>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</si>
  <si>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</si>
  <si>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</si>
  <si>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</si>
  <si>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</si>
  <si>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</si>
  <si>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</si>
  <si>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</si>
  <si>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</si>
  <si>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</si>
  <si>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</si>
  <si>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</si>
  <si>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</si>
  <si>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</si>
  <si>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</si>
  <si>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</si>
  <si>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</si>
  <si>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</si>
  <si>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</si>
  <si>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</si>
  <si>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</si>
  <si>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</si>
  <si>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</si>
  <si>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</si>
  <si>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</si>
  <si>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</si>
  <si>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</si>
  <si>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</si>
  <si>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</si>
  <si>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</si>
  <si>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</si>
  <si>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</si>
  <si>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</si>
  <si>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</si>
  <si>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</si>
  <si>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</si>
  <si>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</si>
  <si>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</si>
  <si>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</si>
  <si>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</si>
  <si>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</si>
  <si>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</si>
  <si>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</si>
  <si>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</si>
  <si>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</si>
  <si>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</si>
  <si>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</si>
  <si>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</si>
  <si>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</si>
  <si>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</si>
  <si>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</si>
  <si>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</si>
  <si>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</si>
  <si>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</si>
  <si>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</si>
  <si>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</si>
  <si>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</si>
  <si>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</si>
  <si>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</si>
  <si>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</si>
  <si>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</si>
  <si>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</si>
  <si>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</si>
  <si>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</si>
  <si>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</si>
  <si>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</si>
  <si>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</si>
  <si>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</si>
  <si>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</si>
  <si>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</si>
  <si>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</si>
  <si>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</si>
  <si>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</si>
  <si>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</si>
  <si>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</si>
  <si>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</si>
  <si>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</si>
  <si>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</si>
  <si>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</si>
  <si>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</si>
  <si>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</si>
  <si>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</si>
  <si>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</si>
  <si>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</si>
  <si>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</si>
  <si>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</si>
  <si>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</si>
  <si>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</si>
  <si>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</si>
  <si>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</si>
  <si>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</si>
  <si>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</si>
  <si>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</si>
  <si>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</si>
  <si>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</si>
  <si>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</si>
  <si>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</si>
  <si>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</si>
  <si>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</si>
  <si>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</si>
  <si>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</si>
  <si>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</si>
  <si>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</si>
  <si>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</si>
  <si>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</si>
  <si>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</si>
  <si>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</si>
  <si>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</si>
  <si>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</si>
  <si>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</si>
  <si>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</si>
  <si>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</si>
  <si>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</si>
  <si>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</si>
  <si>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</si>
  <si>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</si>
  <si>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</si>
  <si>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</si>
  <si>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</si>
  <si>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</si>
  <si>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</si>
  <si>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</si>
  <si>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</si>
  <si>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</si>
  <si>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</si>
  <si>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</si>
  <si>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</si>
  <si>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</si>
  <si>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</si>
  <si>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</si>
  <si>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</si>
  <si>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</si>
  <si>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</si>
  <si>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</si>
  <si>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</si>
  <si>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</si>
  <si>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</si>
  <si>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</si>
  <si>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</si>
  <si>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</si>
  <si>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</si>
  <si>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</si>
  <si>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</si>
  <si>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</si>
  <si>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</si>
  <si>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</si>
  <si>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</si>
  <si>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</si>
  <si>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</si>
  <si>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</si>
  <si>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</si>
  <si>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</si>
  <si>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</si>
  <si>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</si>
  <si>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</si>
  <si>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</si>
  <si>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</si>
  <si>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</si>
  <si>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</si>
  <si>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</si>
  <si>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</si>
  <si>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</si>
  <si>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</si>
  <si>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</si>
  <si>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</si>
  <si>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</si>
  <si>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</si>
  <si>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</si>
  <si>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</si>
  <si>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</si>
  <si>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</si>
  <si>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</si>
  <si>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</si>
  <si>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</si>
  <si>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</si>
  <si>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</si>
  <si>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</si>
  <si>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</si>
  <si>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</si>
  <si>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</si>
  <si>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</si>
  <si>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</si>
  <si>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</si>
  <si>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</si>
  <si>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</si>
  <si>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</si>
  <si>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</si>
  <si>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</si>
  <si>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</si>
  <si>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</si>
  <si>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</si>
  <si>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</si>
  <si>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</si>
  <si>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</si>
  <si>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</si>
  <si>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</si>
  <si>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</si>
  <si>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</si>
  <si>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</si>
  <si>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</si>
  <si>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</si>
  <si>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</si>
  <si>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</si>
  <si>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</si>
  <si>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</si>
  <si>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</si>
  <si>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</si>
  <si>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</si>
  <si>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</si>
  <si>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</si>
  <si>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</si>
  <si>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</si>
  <si>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</si>
  <si>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</si>
  <si>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</si>
  <si>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</si>
  <si>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</si>
  <si>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</si>
  <si>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</si>
  <si>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</si>
  <si>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</si>
  <si>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</si>
  <si>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</si>
  <si>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</si>
  <si>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</si>
  <si>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</si>
  <si>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</si>
  <si>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</si>
  <si>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</si>
  <si>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</si>
  <si>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</si>
  <si>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</si>
  <si>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</si>
  <si>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</si>
  <si>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</si>
  <si>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</si>
  <si>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</si>
  <si>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</si>
  <si>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</si>
  <si>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</si>
  <si>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</si>
  <si>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</si>
  <si>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</si>
  <si>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</si>
  <si>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</si>
  <si>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</si>
  <si>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</si>
  <si>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</si>
  <si>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</si>
  <si>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</si>
  <si>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</si>
  <si>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</si>
  <si>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</si>
  <si>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</si>
  <si>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</si>
  <si>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</si>
  <si>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</si>
  <si>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</si>
  <si>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</si>
  <si>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</si>
  <si>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</si>
  <si>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</si>
  <si>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</si>
  <si>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</si>
  <si>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</si>
  <si>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</si>
  <si>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</si>
  <si>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</si>
  <si>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</si>
  <si>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</si>
  <si>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</si>
  <si>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</si>
  <si>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</si>
  <si>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</si>
  <si>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</si>
  <si>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</si>
  <si>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</si>
  <si>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</si>
  <si>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</si>
  <si>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</si>
  <si>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</si>
  <si>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</si>
  <si>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</si>
  <si>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</si>
  <si>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</si>
  <si>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</si>
  <si>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</si>
  <si>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</si>
  <si>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</si>
  <si>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</si>
  <si>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</si>
  <si>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</si>
  <si>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</si>
  <si>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</si>
  <si>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</si>
  <si>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</si>
  <si>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</si>
  <si>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</si>
  <si>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</si>
  <si>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</si>
  <si>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</si>
  <si>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</si>
  <si>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</si>
  <si>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</si>
  <si>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</si>
  <si>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</si>
  <si>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</si>
  <si>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</si>
  <si>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</si>
  <si>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</si>
  <si>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</si>
  <si>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</si>
  <si>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</si>
  <si>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</si>
  <si>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</si>
  <si>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</si>
  <si>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</si>
  <si>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</si>
  <si>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</si>
  <si>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</si>
  <si>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</si>
  <si>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</si>
  <si>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</si>
  <si>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</si>
  <si>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</si>
  <si>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</si>
  <si>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</si>
  <si>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</si>
  <si>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</si>
  <si>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</si>
  <si>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</si>
  <si>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</si>
  <si>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</si>
  <si>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</si>
  <si>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</si>
  <si>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</si>
  <si>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</si>
  <si>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</si>
  <si>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</si>
  <si>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</si>
  <si>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</si>
  <si>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</si>
  <si>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</si>
  <si>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</si>
  <si>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</si>
  <si>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</si>
  <si>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</si>
  <si>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</si>
  <si>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</si>
  <si>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</si>
  <si>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</si>
  <si>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</si>
  <si>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</si>
  <si>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</si>
  <si>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</si>
  <si>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</si>
  <si>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</si>
  <si>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</si>
  <si>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</si>
  <si>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</si>
  <si>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</si>
  <si>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</si>
  <si>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</si>
  <si>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</si>
  <si>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</si>
  <si>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</si>
  <si>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</si>
  <si>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</si>
  <si>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</si>
  <si>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</si>
  <si>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</si>
  <si>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</si>
  <si>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</si>
  <si>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</si>
  <si>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</si>
  <si>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</si>
  <si>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</si>
  <si>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</si>
  <si>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</si>
  <si>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</si>
  <si>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</si>
  <si>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</si>
  <si>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</si>
  <si>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</si>
  <si>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</si>
  <si>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</si>
  <si>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</si>
  <si>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</si>
  <si>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</si>
  <si>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</si>
  <si>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</si>
  <si>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</si>
  <si>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</si>
  <si>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</si>
  <si>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</si>
  <si>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</si>
  <si>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</si>
  <si>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</si>
  <si>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</si>
  <si>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</si>
  <si>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</si>
  <si>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</si>
  <si>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</si>
  <si>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</si>
  <si>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</si>
  <si>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</si>
  <si>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</si>
  <si>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</si>
  <si>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</si>
  <si>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</si>
  <si>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</si>
  <si>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</si>
  <si>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</si>
  <si>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</si>
  <si>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</si>
  <si>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</si>
  <si>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</si>
  <si>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</si>
  <si>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</si>
  <si>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</si>
  <si>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</si>
  <si>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</si>
  <si>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</si>
  <si>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</si>
  <si>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</si>
  <si>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</si>
  <si>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</si>
  <si>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</si>
  <si>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</si>
  <si>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</si>
  <si>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</si>
  <si>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</si>
  <si>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</si>
  <si>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</si>
  <si>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</si>
  <si>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</si>
  <si>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</si>
  <si>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</si>
  <si>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</si>
  <si>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</si>
  <si>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</si>
  <si>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</si>
  <si>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</si>
  <si>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</si>
  <si>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</si>
  <si>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</si>
  <si>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</si>
  <si>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</si>
  <si>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</si>
  <si>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</si>
  <si>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</si>
  <si>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</si>
  <si>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</si>
  <si>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</si>
  <si>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</si>
  <si>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</si>
  <si>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</si>
  <si>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</si>
  <si>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</si>
  <si>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</si>
  <si>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</si>
  <si>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</si>
  <si>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</si>
  <si>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</si>
  <si>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</si>
  <si>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</si>
  <si>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</si>
  <si>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</si>
  <si>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</si>
  <si>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</si>
  <si>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</si>
  <si>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</si>
  <si>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</si>
  <si>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</si>
  <si>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</si>
  <si>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</si>
  <si>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</si>
  <si>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</si>
  <si>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</si>
  <si>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</si>
  <si>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</si>
  <si>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</si>
  <si>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</si>
  <si>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</si>
  <si>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</si>
  <si>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</si>
  <si>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</si>
  <si>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</si>
  <si>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</si>
  <si>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</si>
  <si>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</si>
  <si>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</si>
  <si>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</si>
  <si>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</si>
  <si>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</si>
  <si>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</si>
  <si>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</si>
  <si>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</si>
  <si>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</si>
  <si>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</si>
  <si>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</si>
  <si>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</si>
  <si>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</si>
  <si>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</si>
  <si>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</si>
  <si>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</si>
  <si>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</si>
  <si>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</si>
  <si>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</si>
  <si>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</si>
  <si>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</si>
  <si>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</si>
  <si>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</si>
  <si>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</si>
  <si>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</si>
  <si>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</si>
  <si>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</si>
  <si>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</si>
  <si>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</si>
  <si>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</si>
  <si>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</si>
  <si>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</si>
  <si>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</si>
  <si>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</si>
  <si>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</si>
  <si>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</si>
  <si>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</si>
  <si>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</si>
  <si>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</si>
  <si>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</si>
  <si>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</si>
  <si>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</si>
  <si>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</si>
  <si>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</si>
  <si>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</si>
  <si>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</si>
  <si>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</si>
  <si>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</si>
  <si>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</si>
  <si>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</si>
  <si>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</si>
  <si>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</si>
  <si>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</si>
  <si>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</si>
  <si>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</si>
  <si>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</si>
  <si>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</si>
  <si>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</si>
  <si>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</si>
  <si>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</si>
  <si>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</si>
  <si>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</si>
  <si>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</si>
  <si>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</si>
  <si>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</si>
  <si>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</si>
  <si>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</si>
  <si>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</si>
  <si>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</si>
  <si>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</si>
  <si>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</si>
  <si>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</si>
  <si>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</si>
  <si>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</si>
  <si>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</si>
  <si>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</si>
  <si>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</si>
  <si>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</si>
  <si>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</si>
  <si>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</si>
  <si>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</si>
  <si>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</si>
  <si>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</si>
  <si>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</si>
  <si>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</si>
  <si>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</si>
  <si>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</si>
  <si>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</si>
  <si>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</si>
  <si>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</si>
  <si>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</si>
  <si>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</si>
  <si>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</si>
  <si>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</si>
  <si>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</si>
  <si>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</si>
  <si>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</si>
  <si>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</si>
  <si>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</si>
  <si>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</si>
  <si>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</si>
  <si>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</si>
  <si>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</si>
  <si>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</si>
  <si>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</si>
  <si>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</si>
  <si>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</si>
  <si>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</si>
  <si>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</si>
  <si>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</si>
  <si>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</si>
  <si>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</si>
  <si>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</si>
  <si>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</si>
  <si>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</si>
  <si>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</si>
  <si>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</si>
  <si>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</si>
  <si>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</si>
  <si>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</si>
  <si>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</si>
  <si>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</si>
  <si>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</si>
  <si>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</si>
  <si>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</si>
  <si>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OD Test Round 37.5</t>
  </si>
  <si>
    <t>High Elf</t>
  </si>
  <si>
    <t>Lumber Rot</t>
  </si>
  <si>
    <t>Leafwalker</t>
  </si>
  <si>
    <t>Elder Treant</t>
  </si>
  <si>
    <t>Swiftblade</t>
  </si>
  <si>
    <t>Changelist</t>
  </si>
  <si>
    <t>Added High Elf as WEv2</t>
  </si>
  <si>
    <t>Added extra jobs to facts</t>
  </si>
  <si>
    <t>Bonus Jobs</t>
  </si>
  <si>
    <t>Bonus Production</t>
  </si>
  <si>
    <t>Factory - Plat</t>
  </si>
  <si>
    <t>Factory - Lumber</t>
  </si>
  <si>
    <t>Factory - Ore</t>
  </si>
  <si>
    <t>Factory - Food</t>
  </si>
  <si>
    <t>Factory - Boats</t>
  </si>
  <si>
    <t>Factory - Gems</t>
  </si>
  <si>
    <t>Factory - Mana</t>
  </si>
  <si>
    <t>+1% max population, +1 barren pop</t>
  </si>
  <si>
    <t>Added racials</t>
  </si>
  <si>
    <t>Verdant Watcher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</si>
</sst>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9">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8"/>
      <tableStyleElement type="headerRow" dxfId="1007"/>
      <tableStyleElement type="totalRow" dxfId="1006"/>
      <tableStyleElement type="firstColumn" dxfId="1005"/>
      <tableStyleElement type="lastColumn" dxfId="1004"/>
      <tableStyleElement type="firstRowStripe" dxfId="1003"/>
      <tableStyleElement type="secondRowStripe" dxfId="1002"/>
      <tableStyleElement type="firstColumnStripe" dxfId="1001"/>
    </tableStyle>
    <tableStyle name="TableStyleLight1 3" pivot="0" count="8" xr9:uid="{40048D91-B7B4-48AD-ADA3-F7B5F24E3A0B}">
      <tableStyleElement type="wholeTable" dxfId="1000"/>
      <tableStyleElement type="headerRow" dxfId="999"/>
      <tableStyleElement type="totalRow" dxfId="998"/>
      <tableStyleElement type="firstColumn" dxfId="997"/>
      <tableStyleElement type="lastColumn" dxfId="996"/>
      <tableStyleElement type="firstRowStripe" dxfId="995"/>
      <tableStyleElement type="secondRowStripe" dxfId="994"/>
      <tableStyleElement type="firstColumnStripe" dxfId="993"/>
    </tableStyle>
    <tableStyle name="TableStyleLight1 3 2" pivot="0" count="8" xr9:uid="{C5C8B11A-65E1-47E8-8B6A-A638EA763C9D}">
      <tableStyleElement type="wholeTable" dxfId="992"/>
      <tableStyleElement type="headerRow" dxfId="991"/>
      <tableStyleElement type="totalRow" dxfId="990"/>
      <tableStyleElement type="firstColumn" dxfId="989"/>
      <tableStyleElement type="lastColumn" dxfId="988"/>
      <tableStyleElement type="firstRowStripe" dxfId="987"/>
      <tableStyleElement type="secondRowStripe" dxfId="986"/>
      <tableStyleElement type="firstColumnStripe" dxfId="985"/>
    </tableStyle>
    <tableStyle name="TableStyleLight1 4" pivot="0" count="8" xr9:uid="{879439EA-876F-405F-B69E-85273FF10F93}">
      <tableStyleElement type="wholeTable" dxfId="984"/>
      <tableStyleElement type="headerRow" dxfId="983"/>
      <tableStyleElement type="totalRow" dxfId="982"/>
      <tableStyleElement type="firstColumn" dxfId="981"/>
      <tableStyleElement type="lastColumn" dxfId="980"/>
      <tableStyleElement type="firstRowStripe" dxfId="979"/>
      <tableStyleElement type="secondRowStripe" dxfId="978"/>
      <tableStyleElement type="firstColumnStripe" dxfId="977"/>
    </tableStyle>
    <tableStyle name="TableStyleLight1 4 2" pivot="0" count="8" xr9:uid="{A2A787F1-3FC0-4774-93F6-6F67EEF4DC05}">
      <tableStyleElement type="wholeTable" dxfId="976"/>
      <tableStyleElement type="headerRow" dxfId="975"/>
      <tableStyleElement type="totalRow" dxfId="974"/>
      <tableStyleElement type="firstColumn" dxfId="973"/>
      <tableStyleElement type="lastColumn" dxfId="972"/>
      <tableStyleElement type="firstRowStripe" dxfId="971"/>
      <tableStyleElement type="secondRowStripe" dxfId="970"/>
      <tableStyleElement type="firstColumnStripe" dxfId="969"/>
    </tableStyle>
    <tableStyle name="TableStyleLight1 5" pivot="0" count="8" xr9:uid="{CB689928-D93B-4088-A9C6-560B4B9C5E75}">
      <tableStyleElement type="wholeTable" dxfId="968"/>
      <tableStyleElement type="headerRow" dxfId="967"/>
      <tableStyleElement type="totalRow" dxfId="966"/>
      <tableStyleElement type="firstColumn" dxfId="965"/>
      <tableStyleElement type="lastColumn" dxfId="964"/>
      <tableStyleElement type="firstRowStripe" dxfId="963"/>
      <tableStyleElement type="secondRowStripe" dxfId="962"/>
      <tableStyleElement type="firstColumnStripe" dxfId="961"/>
    </tableStyle>
    <tableStyle name="TableStyleLight1 5 2" pivot="0" count="8" xr9:uid="{7B8F54C5-86FC-4F37-89FD-016FBCC24E05}">
      <tableStyleElement type="wholeTable" dxfId="960"/>
      <tableStyleElement type="headerRow" dxfId="959"/>
      <tableStyleElement type="totalRow" dxfId="958"/>
      <tableStyleElement type="firstColumn" dxfId="957"/>
      <tableStyleElement type="lastColumn" dxfId="956"/>
      <tableStyleElement type="firstRowStripe" dxfId="955"/>
      <tableStyleElement type="secondRowStripe" dxfId="954"/>
      <tableStyleElement type="firstColumnStripe" dxfId="953"/>
    </tableStyle>
    <tableStyle name="TableStyleLight1 5 2 2" pivot="0" count="8" xr9:uid="{03577705-4D4B-4BC8-BE21-E9B4AACE52E1}">
      <tableStyleElement type="wholeTable" dxfId="952"/>
      <tableStyleElement type="headerRow" dxfId="951"/>
      <tableStyleElement type="totalRow" dxfId="950"/>
      <tableStyleElement type="firstColumn" dxfId="949"/>
      <tableStyleElement type="lastColumn" dxfId="948"/>
      <tableStyleElement type="firstRowStripe" dxfId="947"/>
      <tableStyleElement type="secondRowStripe" dxfId="946"/>
      <tableStyleElement type="firstColumnStripe" dxfId="94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 Protection Hour: 1  ( Local Time: 12:00:00 AM 12/24/2023 )  ( Domtime: 12:00:00 AM 12/24/2023 ) ======</a:t>
          </a:r>
        </a:p>
        <a:p>
          <a:r>
            <a:rPr lang="en-GB" sz="1100"/>
            <a:t>You successfully released 150 Verdant Watcher.</a:t>
          </a:r>
        </a:p>
        <a:p>
          <a:r>
            <a:rPr lang="en-GB" sz="1100"/>
            <a:t>8312 lumber and 10000 gems have been traded for 24156 platinum.</a:t>
          </a:r>
        </a:p>
        <a:p>
          <a:r>
            <a:rPr lang="en-GB" sz="1100"/>
            <a:t>Rezoning begun at a cost of 9000 platinum. The changes in land are as following: 5 Hills, 31 Swamps, -20 Caverns, -16 Water</a:t>
          </a:r>
        </a:p>
        <a:p>
          <a:r>
            <a:rPr lang="en-GB" sz="1100"/>
            <a:t>Construction of 25 Factories, 13 Towers, 38 Temples started at a cost of 64600 platinum and 6688 lumber.</a:t>
          </a:r>
        </a:p>
        <a:p>
          <a:endParaRPr lang="en-GB" sz="1100"/>
        </a:p>
        <a:p>
          <a:r>
            <a:rPr lang="en-GB" sz="1100"/>
            <a:t>====== Protection Hour: 2  ( Local Time: 1:00:00 AM 12/24/2023 )  ( Domtime: 1:00:00 AM 12/24/2023 ) ======</a:t>
          </a:r>
        </a:p>
        <a:p>
          <a:r>
            <a:rPr lang="en-GB" sz="1100"/>
            <a:t>1000 lumber have been traded for 500 platinum.</a:t>
          </a:r>
        </a:p>
        <a:p>
          <a:endParaRPr lang="en-GB" sz="1100"/>
        </a:p>
        <a:p>
          <a:r>
            <a:rPr lang="en-GB" sz="1100"/>
            <a:t>====== Protection Hour: 3  ( Local Time: 2:00:00 AM 12/24/2023 )  ( Domtime: 2:00:00 AM 12/24/2023 ) ======</a:t>
          </a:r>
        </a:p>
        <a:p>
          <a:r>
            <a:rPr lang="en-GB" sz="1100"/>
            <a:t>1000 lumber have been traded for 500 platinum.</a:t>
          </a:r>
        </a:p>
        <a:p>
          <a:endParaRPr lang="en-GB" sz="1100"/>
        </a:p>
        <a:p>
          <a:r>
            <a:rPr lang="en-GB" sz="1100"/>
            <a:t>====== Protection Hour: 4  ( Local Time: 3:00:00 AM 12/24/2023 )  ( Domtime: 3:00:00 AM 12/24/2023 ) ======</a:t>
          </a:r>
        </a:p>
        <a:p>
          <a:r>
            <a:rPr lang="en-GB" sz="1100"/>
            <a:t>1000 lumber have been traded for 500 platinum.</a:t>
          </a:r>
        </a:p>
        <a:p>
          <a:endParaRPr lang="en-GB" sz="1100"/>
        </a:p>
        <a:p>
          <a:r>
            <a:rPr lang="en-GB" sz="1100"/>
            <a:t>====== Protection Hour: 5  ( Local Time: 4:00:00 AM 12/24/2023 )  ( Domtime: 4:00:00 AM 12/24/2023 ) ======</a:t>
          </a:r>
        </a:p>
        <a:p>
          <a:r>
            <a:rPr lang="en-GB" sz="1100"/>
            <a:t>1000 lumber have been traded for 500 platinum.</a:t>
          </a:r>
        </a:p>
        <a:p>
          <a:endParaRPr lang="en-GB" sz="1100"/>
        </a:p>
        <a:p>
          <a:r>
            <a:rPr lang="en-GB" sz="1100"/>
            <a:t>====== Protection Hour: 6  ( Local Time: 5:00:00 AM 12/24/2023 )  ( Domtime: 5:00:00 AM 12/24/2023 ) ======</a:t>
          </a:r>
        </a:p>
        <a:p>
          <a:r>
            <a:rPr lang="en-GB" sz="1100"/>
            <a:t>1000 lumber have been traded for 500 platinum.</a:t>
          </a:r>
        </a:p>
        <a:p>
          <a:endParaRPr lang="en-GB" sz="1100"/>
        </a:p>
        <a:p>
          <a:r>
            <a:rPr lang="en-GB" sz="1100"/>
            <a:t>====== Protection Hour: 7  ( Local Time: 6:00:00 AM 12/24/2023 )  ( Domtime: 6:00:00 AM 12/24/2023 ) ======</a:t>
          </a:r>
        </a:p>
        <a:p>
          <a:r>
            <a:rPr lang="en-GB" sz="1100"/>
            <a:t>1000 lumber have been traded for 500 platinum.</a:t>
          </a:r>
        </a:p>
        <a:p>
          <a:endParaRPr lang="en-GB" sz="1100"/>
        </a:p>
        <a:p>
          <a:r>
            <a:rPr lang="en-GB" sz="1100"/>
            <a:t>====== Protection Hour: 8  ( Local Time: 7:00:00 AM 12/24/2023 )  ( Domtime: 7:00:00 AM 12/24/2023 ) ======</a:t>
          </a:r>
        </a:p>
        <a:p>
          <a:r>
            <a:rPr lang="en-GB" sz="1100"/>
            <a:t>934 lumber have been traded for 467 platinum.</a:t>
          </a:r>
        </a:p>
        <a:p>
          <a:r>
            <a:rPr lang="en-GB" sz="1100"/>
            <a:t>Exploration for 11 Plains begun at a cost of 9350 platinum and 44 draftees.</a:t>
          </a:r>
        </a:p>
        <a:p>
          <a:endParaRPr lang="en-GB" sz="1100"/>
        </a:p>
        <a:p>
          <a:r>
            <a:rPr lang="en-GB" sz="1100"/>
            <a:t>====== Protection Hour: 9  ( Local Time: 8:00:00 AM 12/24/2023 )  ( Domtime: 8:00:00 AM 12/24/2023 ) ======</a:t>
          </a:r>
        </a:p>
        <a:p>
          <a:r>
            <a:rPr lang="en-GB" sz="1100"/>
            <a:t>Exploration for 2 Hills begun at a cost of 1700 platinum and 8 draftees.</a:t>
          </a:r>
        </a:p>
        <a:p>
          <a:endParaRPr lang="en-GB" sz="1100"/>
        </a:p>
        <a:p>
          <a:r>
            <a:rPr lang="en-GB" sz="1100"/>
            <a:t>====== Protection Hour: 10  ( Local Time: 9:00:00 AM 12/24/2023 )  ( Domtime: 9:00:00 AM 12/24/2023 ) ======</a:t>
          </a:r>
        </a:p>
        <a:p>
          <a:r>
            <a:rPr lang="en-GB" sz="1100"/>
            <a:t>Exploration for 1 Hills begun at a cost of 850 platinum and 4 draftees.</a:t>
          </a:r>
        </a:p>
        <a:p>
          <a:endParaRPr lang="en-GB" sz="1100"/>
        </a:p>
        <a:p>
          <a:r>
            <a:rPr lang="en-GB" sz="1100"/>
            <a:t>====== Protection Hour: 11  ( Local Time: 10:00:00 AM 12/24/2023 )  ( Domtime: 10:00:00 AM 12/24/2023 ) ======</a:t>
          </a:r>
        </a:p>
        <a:p>
          <a:r>
            <a:rPr lang="en-GB" sz="1100"/>
            <a:t>Exploration for 2 Hills begun at a cost of 1700 platinum and 8 draftees.</a:t>
          </a:r>
        </a:p>
        <a:p>
          <a:endParaRPr lang="en-GB" sz="1100"/>
        </a:p>
        <a:p>
          <a:r>
            <a:rPr lang="en-GB" sz="1100"/>
            <a:t>====== Protection Hour: 13  ( Local Time: 12:00:00 PM 12/24/2023 )  ( Domtime: 12:00:00 PM 12/24/2023 ) ======</a:t>
          </a:r>
        </a:p>
        <a:p>
          <a:r>
            <a:rPr lang="en-GB" sz="1100"/>
            <a:t>Destruction of 10 Homes, 20 Farms is complete.</a:t>
          </a:r>
        </a:p>
        <a:p>
          <a:r>
            <a:rPr lang="en-GB" sz="1100"/>
            <a:t>Rezoning begun at a cost of 3000 platinum. The changes in land are as following: 19 Plains, -20 Mountains, 5 Hills, -4 Water</a:t>
          </a:r>
        </a:p>
        <a:p>
          <a:r>
            <a:rPr lang="en-GB" sz="1100"/>
            <a:t>Construction of 79 Alchemies, 30 Lumber Yards, 5 Factories started at a cost of 48450 platinum and 5016 lumber.</a:t>
          </a:r>
        </a:p>
        <a:p>
          <a:endParaRPr lang="en-GB" sz="1100"/>
        </a:p>
        <a:p>
          <a:r>
            <a:rPr lang="en-GB" sz="1100"/>
            <a:t>====== Protection Hour: 14  ( Local Time: 1:00:00 PM 12/24/2023 )  ( Domtime: 1:00:00 PM 12/24/2023 ) ======</a:t>
          </a:r>
        </a:p>
        <a:p>
          <a:r>
            <a:rPr lang="en-GB" sz="1100"/>
            <a:t>Your wizards successfully cast Harmony at a cost of 625 mana.</a:t>
          </a:r>
        </a:p>
        <a:p>
          <a:r>
            <a:rPr lang="en-GB" sz="1100"/>
            <a:t>1000 lumber have been traded for 500 platinum.</a:t>
          </a:r>
        </a:p>
        <a:p>
          <a:endParaRPr lang="en-GB" sz="1100"/>
        </a:p>
        <a:p>
          <a:r>
            <a:rPr lang="en-GB" sz="1100"/>
            <a:t>====== Protection Hour: 15  ( Local Time: 2:00:00 PM 12/24/2023 )  ( Domtime: 2:00:00 PM 12/24/2023 ) ======</a:t>
          </a:r>
        </a:p>
        <a:p>
          <a:r>
            <a:rPr lang="en-GB" sz="1100"/>
            <a:t>1000 lumber have been traded for 500 platinum.</a:t>
          </a:r>
        </a:p>
        <a:p>
          <a:endParaRPr lang="en-GB" sz="1100"/>
        </a:p>
        <a:p>
          <a:r>
            <a:rPr lang="en-GB" sz="1100"/>
            <a:t>====== Protection Hour: 16  ( Local Time: 3:00:00 PM 12/24/2023 )  ( Domtime: 3:00:00 PM 12/24/2023 ) ======</a:t>
          </a:r>
        </a:p>
        <a:p>
          <a:r>
            <a:rPr lang="en-GB" sz="1100"/>
            <a:t>Your wizards successfully cast Midas Touch at a cost of 625 mana.</a:t>
          </a:r>
        </a:p>
        <a:p>
          <a:r>
            <a:rPr lang="en-GB" sz="1100"/>
            <a:t>1000 lumber have been traded for 500 platinum.</a:t>
          </a:r>
        </a:p>
        <a:p>
          <a:endParaRPr lang="en-GB" sz="1100"/>
        </a:p>
        <a:p>
          <a:r>
            <a:rPr lang="en-GB" sz="1100"/>
            <a:t>====== Protection Hour: 17  ( Local Time: 4:00:00 PM 12/24/2023 )  ( Domtime: 4:00:00 PM 12/24/2023 ) ======</a:t>
          </a:r>
        </a:p>
        <a:p>
          <a:r>
            <a:rPr lang="en-GB" sz="1100"/>
            <a:t>1000 lumber have been traded for 500 platinum.</a:t>
          </a:r>
        </a:p>
        <a:p>
          <a:endParaRPr lang="en-GB" sz="1100"/>
        </a:p>
        <a:p>
          <a:r>
            <a:rPr lang="en-GB" sz="1100"/>
            <a:t>====== Protection Hour: 18  ( Local Time: 5:00:00 PM 12/24/2023 )  ( Domtime: 5:00:00 PM 12/24/2023 ) ======</a:t>
          </a:r>
        </a:p>
        <a:p>
          <a:r>
            <a:rPr lang="en-GB" sz="1100"/>
            <a:t>1000 lumber have been traded for 500 platinum.</a:t>
          </a:r>
        </a:p>
        <a:p>
          <a:endParaRPr lang="en-GB" sz="1100"/>
        </a:p>
        <a:p>
          <a:r>
            <a:rPr lang="en-GB" sz="1100"/>
            <a:t>====== Protection Hour: 19  ( Local Time: 6:00:00 PM 12/24/2023 )  ( Domtime: 6:00:00 PM 12/24/2023 ) ======</a:t>
          </a:r>
        </a:p>
        <a:p>
          <a:r>
            <a:rPr lang="en-GB" sz="1100"/>
            <a:t>20 lumber have been traded for 10 platinum.</a:t>
          </a:r>
        </a:p>
        <a:p>
          <a:r>
            <a:rPr lang="en-GB" sz="1100"/>
            <a:t>Exploration for 97 Forest begun at a cost of 82450 platinum and 388 draftees.</a:t>
          </a:r>
        </a:p>
        <a:p>
          <a:r>
            <a:rPr lang="en-GB" sz="1100"/>
            <a:t>You have been awarded with 20 Forest.</a:t>
          </a:r>
        </a:p>
        <a:p>
          <a:r>
            <a:rPr lang="en-GB" sz="1100"/>
            <a:t>Rezoning begun at a cost of 1269 platinum. The changes in land are as following: -9 Forest, 9 Hills</a:t>
          </a:r>
        </a:p>
        <a:p>
          <a:r>
            <a:rPr lang="en-GB" sz="1100"/>
            <a:t>Construction of 11 Lumber Yards, 9 Factories started at a cost of 9380 platinum and 980 lumber.</a:t>
          </a:r>
        </a:p>
        <a:p>
          <a:endParaRPr lang="en-GB" sz="1100"/>
        </a:p>
        <a:p>
          <a:r>
            <a:rPr lang="en-GB" sz="1100"/>
            <a:t>====== Protection Hour: 20  ( Local Time: 7:00:00 PM 12/24/2023 )  ( Domtime: 7:00:00 PM 12/24/2023 ) ======</a:t>
          </a:r>
        </a:p>
        <a:p>
          <a:r>
            <a:rPr lang="en-GB" sz="1100"/>
            <a:t>416 lumber have been traded for 208 platinum.</a:t>
          </a:r>
        </a:p>
        <a:p>
          <a:r>
            <a:rPr lang="en-GB" sz="1100"/>
            <a:t>Exploration for 4 Forest begun at a cost of 3640 platinum and 16 draftees.</a:t>
          </a:r>
        </a:p>
        <a:p>
          <a:r>
            <a:rPr lang="en-GB" sz="1100"/>
            <a:t>Construction of 11 Alchemies started at a cost of 5423 platinum and 583 lumber.</a:t>
          </a:r>
        </a:p>
        <a:p>
          <a:endParaRPr lang="en-GB" sz="1100"/>
        </a:p>
        <a:p>
          <a:r>
            <a:rPr lang="en-GB" sz="1100"/>
            <a:t>====== Protection Hour: 21  ( Local Time: 8:00:00 PM 12/24/2023 )  ( Domtime: 8:00:00 PM 12/24/2023 ) ======</a:t>
          </a:r>
        </a:p>
        <a:p>
          <a:r>
            <a:rPr lang="en-GB" sz="1100"/>
            <a:t>892 lumber have been traded for 446 platinum.</a:t>
          </a:r>
        </a:p>
        <a:p>
          <a:r>
            <a:rPr lang="en-GB" sz="1100"/>
            <a:t>Exploration for 8 Forest begun at a cost of 7344 platinum and 32 draftees.</a:t>
          </a:r>
        </a:p>
        <a:p>
          <a:r>
            <a:rPr lang="en-GB" sz="1100"/>
            <a:t>Construction of 2 Factories started at a cost of 994 platinum and 108 lumber.</a:t>
          </a:r>
        </a:p>
        <a:p>
          <a:endParaRPr lang="en-GB" sz="1100"/>
        </a:p>
        <a:p>
          <a:r>
            <a:rPr lang="en-GB" sz="1100"/>
            <a:t>====== Protection Hour: 22  ( Local Time: 9:00:00 PM 12/24/2023 )  ( Domtime: 9:00:00 PM 12/24/2023 ) ======</a:t>
          </a:r>
        </a:p>
        <a:p>
          <a:r>
            <a:rPr lang="en-GB" sz="1100"/>
            <a:t>946 lumber have been traded for 473 platinum.</a:t>
          </a:r>
        </a:p>
        <a:p>
          <a:r>
            <a:rPr lang="en-GB" sz="1100"/>
            <a:t>Exploration for 10 Forest begun at a cost of 9230 platinum and 40 draftees.</a:t>
          </a:r>
        </a:p>
        <a:p>
          <a:r>
            <a:rPr lang="en-GB" sz="1100"/>
            <a:t>Construction of 1 Factories started at a cost of 499 platinum and 54 lumber.</a:t>
          </a:r>
        </a:p>
        <a:p>
          <a:endParaRPr lang="en-GB" sz="1100"/>
        </a:p>
        <a:p>
          <a:r>
            <a:rPr lang="en-GB" sz="1100"/>
            <a:t>====== Protection Hour: 23  ( Local Time: 10:00:00 PM 12/24/2023 )  ( Domtime: 10:00:00 PM 12/24/2023 ) ======</a:t>
          </a:r>
        </a:p>
        <a:p>
          <a:r>
            <a:rPr lang="en-GB" sz="1100"/>
            <a:t>890 lumber have been traded for 445 platinum.</a:t>
          </a:r>
        </a:p>
        <a:p>
          <a:r>
            <a:rPr lang="en-GB" sz="1100"/>
            <a:t>Exploration for 5 Plains, 5 Forest begun at a cost of 9310 platinum and 40 draftees.</a:t>
          </a:r>
        </a:p>
        <a:p>
          <a:r>
            <a:rPr lang="en-GB" sz="1100"/>
            <a:t>Construction of 2 Factories started at a cost of 1006 platinum and 110 lumber.</a:t>
          </a:r>
        </a:p>
        <a:p>
          <a:endParaRPr lang="en-GB" sz="1100"/>
        </a:p>
        <a:p>
          <a:r>
            <a:rPr lang="en-GB" sz="1100"/>
            <a:t>====== Protection Hour: 24  ( Local Time: 11:00:00 PM 12/24/2023 )  ( Domtime: 11:00:00 PM 12/24/2023 ) ======</a:t>
          </a:r>
        </a:p>
        <a:p>
          <a:r>
            <a:rPr lang="en-GB" sz="1100"/>
            <a:t>You have been awarded with 12628 platinum.</a:t>
          </a:r>
        </a:p>
        <a:p>
          <a:r>
            <a:rPr lang="en-GB" sz="1100"/>
            <a:t>1000 lumber have been traded for 500 platinum.</a:t>
          </a:r>
        </a:p>
        <a:p>
          <a:r>
            <a:rPr lang="en-GB" sz="1100"/>
            <a:t>Exploration for 4 Plains begun at a cost of 3724 platinum and 16 draftees.</a:t>
          </a:r>
        </a:p>
        <a:p>
          <a:endParaRPr lang="en-GB" sz="1100"/>
        </a:p>
        <a:p>
          <a:r>
            <a:rPr lang="en-GB" sz="1100"/>
            <a:t>====== Protection Hour: 25  ( Local Time: 12:00:00 AM 12/25/2023 )  ( Domtime: 12:00:00 AM 12/25/2023 ) ======</a:t>
          </a:r>
        </a:p>
        <a:p>
          <a:r>
            <a:rPr lang="en-GB" sz="1100"/>
            <a:t>1000 lumber have been traded for 500 platinum.</a:t>
          </a:r>
        </a:p>
        <a:p>
          <a:endParaRPr lang="en-GB" sz="1100"/>
        </a:p>
        <a:p>
          <a:r>
            <a:rPr lang="en-GB" sz="1100"/>
            <a:t>====== Protection Hour: 26  ( Local Time: 1:00:00 AM 12/25/2023 )  ( Domtime: 1:00:00 AM 12/25/2023 ) ======</a:t>
          </a:r>
        </a:p>
        <a:p>
          <a:r>
            <a:rPr lang="en-GB" sz="1100"/>
            <a:t>Your wizards successfully cast Harmony at a cost of 715 mana.</a:t>
          </a:r>
        </a:p>
        <a:p>
          <a:r>
            <a:rPr lang="en-GB" sz="1100"/>
            <a:t>2500 lumber have been traded for 1250 platinum.</a:t>
          </a:r>
        </a:p>
        <a:p>
          <a:endParaRPr lang="en-GB" sz="1100"/>
        </a:p>
        <a:p>
          <a:r>
            <a:rPr lang="en-GB" sz="1100"/>
            <a:t>====== Protection Hour: 27  ( Local Time: 2:00:00 AM 12/25/2023 )  ( Domtime: 2:00:00 AM 12/25/2023 ) ======</a:t>
          </a:r>
        </a:p>
        <a:p>
          <a:r>
            <a:rPr lang="en-GB" sz="1100"/>
            <a:t>2500 lumber have been traded for 1250 platinum.</a:t>
          </a:r>
        </a:p>
        <a:p>
          <a:endParaRPr lang="en-GB" sz="1100"/>
        </a:p>
        <a:p>
          <a:r>
            <a:rPr lang="en-GB" sz="1100"/>
            <a:t>====== Protection Hour: 28  ( Local Time: 3:00:00 AM 12/25/2023 )  ( Domtime: 3:00:00 AM 12/25/2023 ) ======</a:t>
          </a:r>
        </a:p>
        <a:p>
          <a:r>
            <a:rPr lang="en-GB" sz="1100"/>
            <a:t>Your wizards successfully cast Midas Touch at a cost of 715 mana.</a:t>
          </a:r>
        </a:p>
        <a:p>
          <a:r>
            <a:rPr lang="en-GB" sz="1100"/>
            <a:t>2500 lumber have been traded for 1250 platinum.</a:t>
          </a:r>
        </a:p>
        <a:p>
          <a:endParaRPr lang="en-GB" sz="1100"/>
        </a:p>
        <a:p>
          <a:r>
            <a:rPr lang="en-GB" sz="1100"/>
            <a:t>====== Protection Hour: 30  ( Local Time: 5:00:00 AM 12/25/2023 )  ( Domtime: 5:00:00 AM 12/25/2023 ) ======</a:t>
          </a:r>
        </a:p>
        <a:p>
          <a:r>
            <a:rPr lang="en-GB" sz="1100"/>
            <a:t>Exploration for 73 Plains begun at a cost of 67963 platinum and 292 draftees.</a:t>
          </a:r>
        </a:p>
        <a:p>
          <a:endParaRPr lang="en-GB" sz="1100"/>
        </a:p>
        <a:p>
          <a:r>
            <a:rPr lang="en-GB" sz="1100"/>
            <a:t>====== Protection Hour: 31  ( Local Time: 6:00:00 AM 12/25/2023 )  ( Domtime: 6:00:00 AM 12/25/2023 ) ======</a:t>
          </a:r>
        </a:p>
        <a:p>
          <a:r>
            <a:rPr lang="en-GB" sz="1100"/>
            <a:t>Exploration for 8 Plains begun at a cost of 10888 platinum and 40 draftees.</a:t>
          </a:r>
        </a:p>
        <a:p>
          <a:r>
            <a:rPr lang="en-GB" sz="1100"/>
            <a:t>Construction of 97 Lumber Yards started at a cost of 49276 platinum and 6014 lumber.</a:t>
          </a:r>
        </a:p>
        <a:p>
          <a:endParaRPr lang="en-GB" sz="1100"/>
        </a:p>
        <a:p>
          <a:r>
            <a:rPr lang="en-GB" sz="1100"/>
            <a:t>====== Protection Hour: 32  ( Local Time: 7:00:00 AM 12/25/2023 )  ( Domtime: 7:00:00 AM 12/25/2023 ) ======</a:t>
          </a:r>
        </a:p>
        <a:p>
          <a:r>
            <a:rPr lang="en-GB" sz="1100"/>
            <a:t>Exploration for 8 Plains begun at a cost of 11032 platinum and 40 draftees.</a:t>
          </a:r>
        </a:p>
        <a:p>
          <a:r>
            <a:rPr lang="en-GB" sz="1100"/>
            <a:t>Construction of 4 Lumber Yards started at a cost of 2040 platinum and 252 lumber.</a:t>
          </a:r>
        </a:p>
        <a:p>
          <a:endParaRPr lang="en-GB" sz="1100"/>
        </a:p>
        <a:p>
          <a:r>
            <a:rPr lang="en-GB" sz="1100"/>
            <a:t>====== Protection Hour: 33  ( Local Time: 8:00:00 AM 12/25/2023 )  ( Domtime: 8:00:00 AM 12/25/2023 ) ======</a:t>
          </a:r>
        </a:p>
        <a:p>
          <a:r>
            <a:rPr lang="en-GB" sz="1100"/>
            <a:t>Exploration for 8 Plains begun at a cost of 11328 platinum and 40 draftees.</a:t>
          </a:r>
        </a:p>
        <a:p>
          <a:r>
            <a:rPr lang="en-GB" sz="1100"/>
            <a:t>Construction of 8 Lumber Yards started at a cost of 4120 platinum and 512 lumber.</a:t>
          </a:r>
        </a:p>
        <a:p>
          <a:endParaRPr lang="en-GB" sz="1100"/>
        </a:p>
        <a:p>
          <a:r>
            <a:rPr lang="en-GB" sz="1100"/>
            <a:t>====== Protection Hour: 34  ( Local Time: 9:00:00 AM 12/25/2023 )  ( Domtime: 9:00:00 AM 12/25/2023 ) ======</a:t>
          </a:r>
        </a:p>
        <a:p>
          <a:r>
            <a:rPr lang="en-GB" sz="1100"/>
            <a:t>Exploration for 9 Plains begun at a cost of 13167 platinum and 45 draftees.</a:t>
          </a:r>
        </a:p>
        <a:p>
          <a:r>
            <a:rPr lang="en-GB" sz="1100"/>
            <a:t>Construction of 10 Lumber Yards started at a cost of 5220 platinum and 660 lumber.</a:t>
          </a:r>
        </a:p>
        <a:p>
          <a:endParaRPr lang="en-GB" sz="1100"/>
        </a:p>
        <a:p>
          <a:r>
            <a:rPr lang="en-GB" sz="1100"/>
            <a:t>====== Protection Hour: 35  ( Local Time: 10:00:00 AM 12/25/2023 )  ( Domtime: 10:00:00 AM 12/25/2023 ) ======</a:t>
          </a:r>
        </a:p>
        <a:p>
          <a:r>
            <a:rPr lang="en-GB" sz="1100"/>
            <a:t>Exploration for 9 Plains begun at a cost of 13590 platinum and 45 draftees.</a:t>
          </a:r>
        </a:p>
        <a:p>
          <a:r>
            <a:rPr lang="en-GB" sz="1100"/>
            <a:t>Construction of 5 Farms, 5 Lumber Yards started at a cost of 5280 platinum and 670 lumber.</a:t>
          </a:r>
        </a:p>
        <a:p>
          <a:endParaRPr lang="en-GB" sz="1100"/>
        </a:p>
        <a:p>
          <a:r>
            <a:rPr lang="en-GB" sz="1100"/>
            <a:t>====== Protection Hour: 36  ( Local Time: 11:00:00 AM 12/25/2023 )  ( Domtime: 11:00:00 AM 12/25/2023 ) ======</a:t>
          </a:r>
        </a:p>
        <a:p>
          <a:r>
            <a:rPr lang="en-GB" sz="1100"/>
            <a:t>Exploration for 10 Plains begun at a cost of 15290 platinum and 50 draftees.</a:t>
          </a:r>
        </a:p>
        <a:p>
          <a:r>
            <a:rPr lang="en-GB" sz="1100"/>
            <a:t>Construction of 4 Farms started at a cost of 2120 platinum and 272 lumber.</a:t>
          </a:r>
        </a:p>
        <a:p>
          <a:endParaRPr lang="en-GB" sz="1100"/>
        </a:p>
        <a:p>
          <a:r>
            <a:rPr lang="en-GB" sz="1100"/>
            <a:t>====== Protection Hour: 37  ( Local Time: 12:00:00 PM 12/25/2023 )  ( Domtime: 12:00:00 PM 12/25/2023 ) ======</a:t>
          </a:r>
        </a:p>
        <a:p>
          <a:r>
            <a:rPr lang="en-GB" sz="1100"/>
            <a:t>Exploration for 11 Plains begun at a cost of 16819 platinum and 55 draftees.</a:t>
          </a:r>
        </a:p>
        <a:p>
          <a:endParaRPr lang="en-GB" sz="1100"/>
        </a:p>
        <a:p>
          <a:r>
            <a:rPr lang="en-GB" sz="1100"/>
            <a:t>====== Protection Hour: 38  ( Local Time: 1:00:00 PM 12/25/2023 )  ( Domtime: 1:00:00 PM 12/25/2023 ) ======</a:t>
          </a:r>
        </a:p>
        <a:p>
          <a:r>
            <a:rPr lang="en-GB" sz="1100"/>
            <a:t>Your wizards successfully cast Harmony at a cost of 1048 mana.</a:t>
          </a:r>
        </a:p>
        <a:p>
          <a:r>
            <a:rPr lang="en-GB" sz="1100"/>
            <a:t>Exploration for 10 Plains begun at a cost of 15290 platinum and 50 draftees.</a:t>
          </a:r>
        </a:p>
        <a:p>
          <a:endParaRPr lang="en-GB" sz="1100"/>
        </a:p>
        <a:p>
          <a:r>
            <a:rPr lang="en-GB" sz="1100"/>
            <a:t>====== Protection Hour: 39  ( Local Time: 2:00:00 PM 12/25/2023 )  ( Domtime: 2:00:00 PM 12/25/2023 ) ======</a:t>
          </a:r>
        </a:p>
        <a:p>
          <a:r>
            <a:rPr lang="en-GB" sz="1100"/>
            <a:t>Exploration for 12 Swamps begun at a cost of 18348 platinum and 60 draftees.</a:t>
          </a:r>
        </a:p>
        <a:p>
          <a:endParaRPr lang="en-GB" sz="1100"/>
        </a:p>
        <a:p>
          <a:r>
            <a:rPr lang="en-GB" sz="1100"/>
            <a:t>====== Protection Hour: 40  ( Local Time: 3:00:00 PM 12/25/2023 )  ( Domtime: 3:00:00 PM 12/25/2023 ) ======</a:t>
          </a:r>
        </a:p>
        <a:p>
          <a:r>
            <a:rPr lang="en-GB" sz="1100"/>
            <a:t>Your wizards successfully cast Midas Touch at a cost of 1048 mana.</a:t>
          </a:r>
        </a:p>
        <a:p>
          <a:r>
            <a:rPr lang="en-GB" sz="1100"/>
            <a:t>Exploration for 2 Plains, 10 Swamps begun at a cost of 18348 platinum and 60 draftees.</a:t>
          </a:r>
        </a:p>
        <a:p>
          <a:endParaRPr lang="en-GB" sz="1100"/>
        </a:p>
        <a:p>
          <a:r>
            <a:rPr lang="en-GB" sz="1100"/>
            <a:t>====== Protection Hour: 41  ( Local Time: 4:00:00 PM 12/25/2023 )  ( Domtime: 4:00:00 PM 12/25/2023 ) ======</a:t>
          </a:r>
        </a:p>
        <a:p>
          <a:r>
            <a:rPr lang="en-GB" sz="1100"/>
            <a:t>Exploration for 12 Forest begun at a cost of 18348 platinum and 60 draftees.</a:t>
          </a:r>
        </a:p>
        <a:p>
          <a:endParaRPr lang="en-GB" sz="1100"/>
        </a:p>
        <a:p>
          <a:r>
            <a:rPr lang="en-GB" sz="1100"/>
            <a:t>====== Protection Hour: 42  ( Local Time: 5:00:00 PM 12/25/2023 )  ( Domtime: 5:00:00 PM 12/25/2023 ) ======</a:t>
          </a:r>
        </a:p>
        <a:p>
          <a:r>
            <a:rPr lang="en-GB" sz="1100"/>
            <a:t>Exploration for 10 Forest begun at a cost of 18840 platinum and 60 draftees.</a:t>
          </a:r>
        </a:p>
        <a:p>
          <a:r>
            <a:rPr lang="en-GB" sz="1100"/>
            <a:t>Construction of 73 Smithies started at a cost of 46501 platinum and 6278 lumber.</a:t>
          </a:r>
        </a:p>
        <a:p>
          <a:endParaRPr lang="en-GB" sz="1100"/>
        </a:p>
        <a:p>
          <a:r>
            <a:rPr lang="en-GB" sz="1100"/>
            <a:t>====== Protection Hour: 43  ( Local Time: 6:00:00 PM 12/25/2023 )  ( Domtime: 6:00:00 PM 12/25/2023 ) ======</a:t>
          </a:r>
        </a:p>
        <a:p>
          <a:r>
            <a:rPr lang="en-GB" sz="1100"/>
            <a:t>Exploration for 10 Forest begun at a cost of 19240 platinum and 60 draftees.</a:t>
          </a:r>
        </a:p>
        <a:p>
          <a:r>
            <a:rPr lang="en-GB" sz="1100"/>
            <a:t>Construction of 8 Smithies started at a cost of 5208 platinum and 712 lumber.</a:t>
          </a:r>
        </a:p>
        <a:p>
          <a:endParaRPr lang="en-GB" sz="1100"/>
        </a:p>
        <a:p>
          <a:r>
            <a:rPr lang="en-GB" sz="1100"/>
            <a:t>====== Protection Hour: 44  ( Local Time: 7:00:00 PM 12/25/2023 )  ( Domtime: 7:00:00 PM 12/25/2023 ) ======</a:t>
          </a:r>
        </a:p>
        <a:p>
          <a:r>
            <a:rPr lang="en-GB" sz="1100"/>
            <a:t>Exploration for 11 Forest begun at a cost of 21604 platinum and 66 draftees.</a:t>
          </a:r>
        </a:p>
        <a:p>
          <a:r>
            <a:rPr lang="en-GB" sz="1100"/>
            <a:t>Construction of 8 Smithies started at a cost of 5320 platinum and 728 lumber.</a:t>
          </a:r>
        </a:p>
        <a:p>
          <a:endParaRPr lang="en-GB" sz="1100"/>
        </a:p>
        <a:p>
          <a:r>
            <a:rPr lang="en-GB" sz="1100"/>
            <a:t>====== Protection Hour: 45  ( Local Time: 8:00:00 PM 12/25/2023 )  ( Domtime: 8:00:00 PM 12/25/2023 ) ======</a:t>
          </a:r>
        </a:p>
        <a:p>
          <a:r>
            <a:rPr lang="en-GB" sz="1100"/>
            <a:t>Exploration for 10 Forest begun at a cost of 20040 platinum and 60 draftees.</a:t>
          </a:r>
        </a:p>
        <a:p>
          <a:r>
            <a:rPr lang="en-GB" sz="1100"/>
            <a:t>Construction of 8 Smithies started at a cost of 5424 platinum and 744 lumber.</a:t>
          </a:r>
        </a:p>
        <a:p>
          <a:endParaRPr lang="en-GB" sz="1100"/>
        </a:p>
        <a:p>
          <a:r>
            <a:rPr lang="en-GB" sz="1100"/>
            <a:t>====== Protection Hour: 46  ( Local Time: 9:00:00 PM 12/25/2023 )  ( Domtime: 9:00:00 PM 12/25/2023 ) ======</a:t>
          </a:r>
        </a:p>
        <a:p>
          <a:r>
            <a:rPr lang="en-GB" sz="1100"/>
            <a:t>Exploration for 11 Forest begun at a cost of 22539 platinum and 66 draftees.</a:t>
          </a:r>
        </a:p>
        <a:p>
          <a:r>
            <a:rPr lang="en-GB" sz="1100"/>
            <a:t>Construction of 9 Smithies started at a cost of 6237 platinum and 864 lumber.</a:t>
          </a:r>
        </a:p>
        <a:p>
          <a:endParaRPr lang="en-GB" sz="1100"/>
        </a:p>
        <a:p>
          <a:r>
            <a:rPr lang="en-GB" sz="1100"/>
            <a:t>====== Protection Hour: 47  ( Local Time: 10:00:00 PM 12/25/2023 )  ( Domtime: 10:00:00 PM 12/25/2023 ) ======</a:t>
          </a:r>
        </a:p>
        <a:p>
          <a:r>
            <a:rPr lang="en-GB" sz="1100"/>
            <a:t>Exploration for 10 Forest begun at a cost of 20950 platinum and 60 draftees.</a:t>
          </a:r>
        </a:p>
        <a:p>
          <a:r>
            <a:rPr lang="en-GB" sz="1100"/>
            <a:t>Construction of 1 Farms, 8 Smithies started at a cost of 6372 platinum and 882 lumber.</a:t>
          </a:r>
        </a:p>
        <a:p>
          <a:endParaRPr lang="en-GB" sz="1100"/>
        </a:p>
        <a:p>
          <a:r>
            <a:rPr lang="en-GB" sz="1100"/>
            <a:t>====== Protection Hour: 48  ( Local Time: 11:00:00 PM 12/25/2023 )  ( Domtime: 11:00:00 PM 12/25/2023 ) ======</a:t>
          </a:r>
        </a:p>
        <a:p>
          <a:r>
            <a:rPr lang="en-GB" sz="1100"/>
            <a:t>You have been awarded with 30756 platinum.</a:t>
          </a:r>
        </a:p>
        <a:p>
          <a:r>
            <a:rPr lang="en-GB" sz="1100"/>
            <a:t>Exploration for 18 Forest begun at a cost of 38628 platinum and 108 draftees.</a:t>
          </a:r>
        </a:p>
        <a:p>
          <a:r>
            <a:rPr lang="en-GB" sz="1100"/>
            <a:t>You have been awarded with 20 Forest.</a:t>
          </a:r>
        </a:p>
        <a:p>
          <a:r>
            <a:rPr lang="en-GB" sz="1100"/>
            <a:t>Construction of 10 Smithies started at a cost of 7250 platinum and 1010 lumber.</a:t>
          </a:r>
        </a:p>
        <a:p>
          <a:endParaRPr lang="en-GB" sz="1100"/>
        </a:p>
        <a:p>
          <a:r>
            <a:rPr lang="en-GB" sz="1100"/>
            <a:t>====== Protection Hour: 49  ( Local Time: 12:00:00 AM 12/26/2023 )  ( Domtime: 12:00:00 AM 12/26/2023 ) ======</a:t>
          </a:r>
        </a:p>
        <a:p>
          <a:r>
            <a:rPr lang="en-GB" sz="1100"/>
            <a:t>Exploration for 5 Plains, 8 Forest begun at a cost of 29991 platinum and 78 draftees.</a:t>
          </a:r>
        </a:p>
        <a:p>
          <a:r>
            <a:rPr lang="en-GB" sz="1100"/>
            <a:t>Construction of 11 Smithies started at a cost of 8525 platinum and 1221 lumber.</a:t>
          </a:r>
        </a:p>
        <a:p>
          <a:endParaRPr lang="en-GB" sz="1100"/>
        </a:p>
        <a:p>
          <a:r>
            <a:rPr lang="en-GB" sz="1100"/>
            <a:t>====== Protection Hour: 50  ( Local Time: 1:00:00 AM 12/26/2023 )  ( Domtime: 1:00:00 AM 12/26/2023 ) ======</a:t>
          </a:r>
        </a:p>
        <a:p>
          <a:r>
            <a:rPr lang="en-GB" sz="1100"/>
            <a:t>Exploration for 8 Plains, 5 Forest begun at a cost of 30667 platinum and 78 draftees.</a:t>
          </a:r>
        </a:p>
        <a:p>
          <a:r>
            <a:rPr lang="en-GB" sz="1100"/>
            <a:t>Construction of 10 Farms started at a cost of 7910 platinum and 1140 lumber.</a:t>
          </a:r>
        </a:p>
        <a:p>
          <a:endParaRPr lang="en-GB" sz="1100"/>
        </a:p>
        <a:p>
          <a:r>
            <a:rPr lang="en-GB" sz="1100"/>
            <a:t>====== Protection Hour: 51  ( Local Time: 2:00:00 AM 12/26/2023 )  ( Domtime: 2:00:00 AM 12/26/2023 ) ======</a:t>
          </a:r>
        </a:p>
        <a:p>
          <a:r>
            <a:rPr lang="en-GB" sz="1100"/>
            <a:t>Exploration for 3 Forest begun at a cost of 7266 platinum and 18 draftees.</a:t>
          </a:r>
        </a:p>
        <a:p>
          <a:r>
            <a:rPr lang="en-GB" sz="1100"/>
            <a:t>Construction of 9 Homes, 12 Towers started at a cost of 17010 platinum and 2457 lumber.</a:t>
          </a:r>
        </a:p>
        <a:p>
          <a:endParaRPr lang="en-GB" sz="1100"/>
        </a:p>
        <a:p>
          <a:r>
            <a:rPr lang="en-GB" sz="1100"/>
            <a:t>====== Protection Hour: 52  ( Local Time: 3:00:00 AM 12/26/2023 )  ( Domtime: 3:00:00 AM 12/26/2023 ) ======</a:t>
          </a:r>
        </a:p>
        <a:p>
          <a:r>
            <a:rPr lang="en-GB" sz="1100"/>
            <a:t>Your wizards successfully cast Midas Touch at a cost of 1523 mana.</a:t>
          </a:r>
        </a:p>
        <a:p>
          <a:r>
            <a:rPr lang="en-GB" sz="1100"/>
            <a:t>You have been awarded with 20 Forest.</a:t>
          </a:r>
        </a:p>
        <a:p>
          <a:r>
            <a:rPr lang="en-GB" sz="1100"/>
            <a:t>Construction of 31 Homes, 2 Farms, 10 Towers started at a cost of 36267 platinum and 5323 lumber.</a:t>
          </a:r>
        </a:p>
        <a:p>
          <a:endParaRPr lang="en-GB" sz="1100"/>
        </a:p>
        <a:p>
          <a:r>
            <a:rPr lang="en-GB" sz="1100"/>
            <a:t>====== Protection Hour: 53  ( Local Time: 4:00:00 AM 12/26/2023 )  ( Domtime: 4:00:00 AM 12/26/2023 ) ======</a:t>
          </a:r>
        </a:p>
        <a:p>
          <a:r>
            <a:rPr lang="en-GB" sz="1100"/>
            <a:t>Construction of 12 Homes started at a cost of 10548 platinum and 1560 lumber.</a:t>
          </a:r>
        </a:p>
        <a:p>
          <a:endParaRPr lang="en-GB" sz="1100"/>
        </a:p>
        <a:p>
          <a:r>
            <a:rPr lang="en-GB" sz="1100"/>
            <a:t>====== Protection Hour: 54  ( Local Time: 5:00:00 AM 12/26/2023 )  ( Domtime: 5:00:00 AM 12/26/2023 ) ======</a:t>
          </a:r>
        </a:p>
        <a:p>
          <a:r>
            <a:rPr lang="en-GB" sz="1100"/>
            <a:t>Construction of 10 Homes started at a cost of 8940 platinum and 1330 lumber.</a:t>
          </a:r>
        </a:p>
        <a:p>
          <a:endParaRPr lang="en-GB" sz="1100"/>
        </a:p>
        <a:p>
          <a:r>
            <a:rPr lang="en-GB" sz="1100"/>
            <a:t>====== Protection Hour: 55  ( Local Time: 6:00:00 AM 12/26/2023 )  ( Domtime: 6:00:00 AM 12/26/2023 ) ======</a:t>
          </a:r>
        </a:p>
        <a:p>
          <a:r>
            <a:rPr lang="en-GB" sz="1100"/>
            <a:t>Construction of 10 Homes started at a cost of 9100 platinum and 1360 lumber.</a:t>
          </a:r>
        </a:p>
        <a:p>
          <a:endParaRPr lang="en-GB" sz="1100"/>
        </a:p>
        <a:p>
          <a:r>
            <a:rPr lang="en-GB" sz="1100"/>
            <a:t>====== Protection Hour: 56  ( Local Time: 7:00:00 AM 12/26/2023 )  ( Domtime: 7:00:00 AM 12/26/2023 ) ======</a:t>
          </a:r>
        </a:p>
        <a:p>
          <a:r>
            <a:rPr lang="en-GB" sz="1100"/>
            <a:t>Construction of 11 Homes started at a cost of 10186 platinum and 1529 lumber.</a:t>
          </a:r>
        </a:p>
        <a:p>
          <a:endParaRPr lang="en-GB" sz="1100"/>
        </a:p>
        <a:p>
          <a:r>
            <a:rPr lang="en-GB" sz="1100"/>
            <a:t>====== Protection Hour: 57  ( Local Time: 8:00:00 AM 12/26/2023 )  ( Domtime: 8:00:00 AM 12/26/2023 ) ======</a:t>
          </a:r>
        </a:p>
        <a:p>
          <a:r>
            <a:rPr lang="en-GB" sz="1100"/>
            <a:t>Construction of 10 Homes started at a cost of 9410 platinum and 1420 lumber.</a:t>
          </a:r>
        </a:p>
        <a:p>
          <a:endParaRPr lang="en-GB" sz="1100"/>
        </a:p>
        <a:p>
          <a:r>
            <a:rPr lang="en-GB" sz="1100"/>
            <a:t>====== Protection Hour: 58  ( Local Time: 9:00:00 AM 12/26/2023 )  ( Domtime: 9:00:00 AM 12/26/2023 ) ======</a:t>
          </a:r>
        </a:p>
        <a:p>
          <a:r>
            <a:rPr lang="en-GB" sz="1100"/>
            <a:t>Construction of 11 Homes started at a cost of 10538 platinum and 1606 lumber.</a:t>
          </a:r>
        </a:p>
        <a:p>
          <a:endParaRPr lang="en-GB" sz="1100"/>
        </a:p>
        <a:p>
          <a:r>
            <a:rPr lang="en-GB" sz="1100"/>
            <a:t>====== Protection Hour: 61  ( Local Time: 12:00:00 PM 12/26/2023 )  ( Domtime: 12:00:00 PM 12/26/2023 ) ======</a:t>
          </a:r>
        </a:p>
        <a:p>
          <a:r>
            <a:rPr lang="en-GB" sz="1100"/>
            <a:t>Training of 315 Elder Treant, 25 Spies, 25 Wizards begun at a cost of 171160 platinum, 157500 ore, 365 draftees, 0 spies, and 0 wizards.</a:t>
          </a:r>
        </a:p>
        <a:p>
          <a:endParaRPr lang="en-GB" sz="1100"/>
        </a:p>
        <a:p>
          <a:r>
            <a:rPr lang="en-GB" sz="1100"/>
            <a:t>====== Protection Hour: 64  ( Local Time: 3:00:00 PM 12/26/2023 )  ( Domtime: 3:00:00 PM 12/26/2023 ) ======</a:t>
          </a:r>
        </a:p>
        <a:p>
          <a:r>
            <a:rPr lang="en-GB" sz="1100"/>
            <a:t>Your wizards successfully cast Midas Touch at a cost of 1875 mana.</a:t>
          </a:r>
        </a:p>
        <a:p>
          <a:r>
            <a:rPr lang="en-GB" sz="1100"/>
            <a:t>You have been awarded with 38396 platinum.</a:t>
          </a:r>
        </a:p>
        <a:p>
          <a:r>
            <a:rPr lang="en-GB" sz="1100"/>
            <a:t>Training of 878 Verdant Watcher begun at a cost of 202818 platinum, 17560 ore, 878 draftees, 0 spies, and 0 wizards.</a:t>
          </a:r>
        </a:p>
        <a:p>
          <a:endParaRPr lang="en-GB" sz="1100"/>
        </a:p>
        <a:p>
          <a:r>
            <a:rPr lang="en-GB" sz="1100"/>
            <a:t>====== Protection Hour: 65  ( Local Time: 4:00:00 PM 12/26/2023 )  ( Domtime: 4:00:00 PM 12/26/2023 ) ======</a:t>
          </a:r>
        </a:p>
        <a:p>
          <a:r>
            <a:rPr lang="en-GB" sz="1100"/>
            <a:t>Construction of 5 Farms, 13 Lumber Yards started at a cost of 18756 platinum and 2916 lumber.</a:t>
          </a:r>
        </a:p>
        <a:p>
          <a:r>
            <a:rPr lang="en-GB" sz="1100"/>
            <a:t>Training of 96 Verdant Watcher begun at a cost of 22176 platinum, 1920 ore, 96 draftees, 0 spies, and 0 wizards.</a:t>
          </a:r>
        </a:p>
        <a:p>
          <a:endParaRPr lang="en-GB" sz="1100"/>
        </a:p>
        <a:p>
          <a:r>
            <a:rPr lang="en-GB" sz="1100"/>
            <a:t>====== Protection Hour: 66  ( Local Time: 5:00:00 PM 12/26/2023 )  ( Domtime: 5:00:00 PM 12/26/2023 ) ======</a:t>
          </a:r>
        </a:p>
        <a:p>
          <a:r>
            <a:rPr lang="en-GB" sz="1100"/>
            <a:t>Construction of 22 Lumber Yards started at a cost of 22924 platinum and 3564 lumber.</a:t>
          </a:r>
        </a:p>
        <a:p>
          <a:r>
            <a:rPr lang="en-GB" sz="1100"/>
            <a:t>Training of 26 Verdant Watcher begun at a cost of 6006 platinum, 520 ore, 26 draftees, 0 spies, and 0 wizards.</a:t>
          </a:r>
        </a:p>
        <a:p>
          <a:endParaRPr lang="en-GB" sz="1100"/>
        </a:p>
        <a:p>
          <a:r>
            <a:rPr lang="en-GB" sz="1100"/>
            <a:t>====== Protection Hour: 67  ( Local Time: 6:00:00 PM 12/26/2023 )  ( Domtime: 6:00:00 PM 12/26/2023 ) ======</a:t>
          </a:r>
        </a:p>
        <a:p>
          <a:r>
            <a:rPr lang="en-GB" sz="1100"/>
            <a:t>Construction of 9 Homes, 8 Farms started at a cost of 17714 platinum and 2754 lumber.</a:t>
          </a:r>
        </a:p>
        <a:p>
          <a:r>
            <a:rPr lang="en-GB" sz="1100"/>
            <a:t>Training of 51 Elder Treant begun at a cost of 23664 platinum, 25500 ore, 51 draftees, 0 spies, and 0 wizards.</a:t>
          </a:r>
        </a:p>
        <a:p>
          <a:endParaRPr lang="en-GB" sz="1100"/>
        </a:p>
        <a:p>
          <a:r>
            <a:rPr lang="en-GB" sz="1100"/>
            <a:t>====== Protection Hour: 68  ( Local Time: 7:00:00 PM 12/26/2023 )  ( Domtime: 7:00:00 PM 12/26/2023 ) ======</a:t>
          </a:r>
        </a:p>
        <a:p>
          <a:r>
            <a:rPr lang="en-GB" sz="1100"/>
            <a:t>Exploration for 8 Forest begun at a cost of 26056 platinum and 56 draftees.</a:t>
          </a:r>
        </a:p>
        <a:p>
          <a:r>
            <a:rPr lang="en-GB" sz="1100"/>
            <a:t>Training of 23 Elder Treant begun at a cost of 10672 platinum, 11500 ore, 23 draftees, 0 spies, and 0 wizards.</a:t>
          </a:r>
        </a:p>
        <a:p>
          <a:endParaRPr lang="en-GB" sz="1100"/>
        </a:p>
        <a:p>
          <a:r>
            <a:rPr lang="en-GB" sz="1100"/>
            <a:t>====== Protection Hour: 69  ( Local Time: 8:00:00 PM 12/26/2023 )  ( Domtime: 8:00:00 PM 12/26/2023 ) ======</a:t>
          </a:r>
        </a:p>
        <a:p>
          <a:r>
            <a:rPr lang="en-GB" sz="1100"/>
            <a:t>Exploration for 8 Forest begun at a cost of 26056 platinum and 56 draftees.</a:t>
          </a:r>
        </a:p>
        <a:p>
          <a:r>
            <a:rPr lang="en-GB" sz="1100"/>
            <a:t>Training of 18 Elder Treant begun at a cost of 8352 platinum, 9000 ore, 18 draftees, 0 spies, and 0 wizards.</a:t>
          </a:r>
        </a:p>
        <a:p>
          <a:endParaRPr lang="en-GB" sz="1100"/>
        </a:p>
        <a:p>
          <a:r>
            <a:rPr lang="en-GB" sz="1100"/>
            <a:t>====== Protection Hour: 70  ( Local Time: 9:00:00 PM 12/26/2023 )  ( Domtime: 9:00:00 PM 12/26/2023 ) ======</a:t>
          </a:r>
        </a:p>
        <a:p>
          <a:r>
            <a:rPr lang="en-GB" sz="1100"/>
            <a:t>Exploration for 9 Forest begun at a cost of 29313 platinum and 63 draftees.</a:t>
          </a:r>
        </a:p>
        <a:p>
          <a:r>
            <a:rPr lang="en-GB" sz="1100"/>
            <a:t>Training of 19 Elder Treant begun at a cost of 8816 platinum, 9500 ore, 19 draftees, 0 spies, and 0 wizards.</a:t>
          </a:r>
        </a:p>
        <a:p>
          <a:endParaRPr lang="en-GB" sz="1100"/>
        </a:p>
        <a:p>
          <a:r>
            <a:rPr lang="en-GB" sz="1100"/>
            <a:t>====== Protection Hour: 71  ( Local Time: 10:00:00 PM 12/26/2023 )  ( Domtime: 10:00:00 PM 12/26/2023 ) ======</a:t>
          </a:r>
        </a:p>
        <a:p>
          <a:r>
            <a:rPr lang="en-GB" sz="1100"/>
            <a:t>Exploration for 9 Forest begun at a cost of 29313 platinum and 63 draftees.</a:t>
          </a:r>
        </a:p>
        <a:p>
          <a:r>
            <a:rPr lang="en-GB" sz="1100"/>
            <a:t>Training of 18 Elder Treant begun at a cost of 8352 platinum, 9000 ore, 18 draftees, 0 spies, and 0 wizards.</a:t>
          </a:r>
        </a:p>
        <a:p>
          <a:endParaRPr lang="en-GB" sz="1100"/>
        </a:p>
        <a:p>
          <a:r>
            <a:rPr lang="en-GB" sz="1100"/>
            <a:t>====== Protection Hour: 72  ( Local Time: 11:00:00 PM 12/26/2023 )  ( Domtime: 11:00:00 PM 12/26/2023 ) ======</a:t>
          </a:r>
        </a:p>
        <a:p>
          <a:r>
            <a:rPr lang="en-GB" sz="1100"/>
            <a:t>Training of 19 Elder Treant begun at a cost of 8816 platinum, 9500 ore, 19 draftees, 0 spies, and 0 wizards.</a:t>
          </a:r>
        </a:p>
        <a:p>
          <a:endParaRPr lang="en-GB" sz="1100"/>
        </a:p>
        <a:p>
          <a:r>
            <a:rPr lang="en-GB" sz="1100"/>
            <a:t>====== Protection Hour: 73  ( Local Time: 12:00:00 AM 12/27/2023 )  ( Domtime: 12:00:00 AM 12/27/2023 ) ======</a:t>
          </a:r>
        </a:p>
        <a:p>
          <a:r>
            <a:rPr lang="en-GB" sz="1100"/>
            <a:t>Your wizards successfully cast Ares Call at a cost of 1875 mana.</a:t>
          </a:r>
        </a:p>
        <a:p>
          <a:r>
            <a:rPr lang="en-GB" sz="1100"/>
            <a:t>Training of 18 Elder Treant begun at a cost of 8352 platinum, 9000 ore, 18 draftees, 0 spies, and 0 wizards.</a:t>
          </a:r>
        </a:p>
        <a:p>
          <a:endParaRPr lang="en-GB" sz="1100"/>
        </a:p>
        <a:p>
          <a:r>
            <a:rPr lang="en-GB" sz="1100"/>
            <a:t>====== Protection Hour: 74  ( Local Time: 1:00:00 AM 12/27/2023 )  ( Domtime: 1:00:00 AM 12/27/2023 ) ======</a:t>
          </a:r>
        </a:p>
        <a:p>
          <a:r>
            <a:rPr lang="en-GB" sz="1100"/>
            <a:t>Exploration for 5 Plains, 24 Forest begun at a cost of 94453 platinum and 203 draftees.</a:t>
          </a:r>
        </a:p>
        <a:p>
          <a:endParaRPr lang="en-GB" sz="1100"/>
        </a:p>
        <a:p>
          <a:r>
            <a:rPr lang="en-GB" sz="1100"/>
            <a:t>====== Protection Hour: 76  ( Local Time: 3:00:00 AM 12/27/2023 )  ( Domtime: 3:00:00 AM 12/27/2023 ) ======</a:t>
          </a:r>
        </a:p>
        <a:p>
          <a:r>
            <a:rPr lang="en-GB" sz="1100"/>
            <a:t>Your wizards successfully cast Midas Touch at a cost of 1875 mana.</a:t>
          </a:r>
        </a:p>
        <a:p>
          <a:r>
            <a:rPr lang="en-GB" sz="1100"/>
            <a:t>Training of 170 Verdant Watcher begun at a cost of 39270 platinum, 3400 ore, 170 draftees, 0 spies, and 0 wizards.</a:t>
          </a:r>
        </a:p>
        <a:p>
          <a:endParaRPr lang="en-GB" sz="1100"/>
        </a:p>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8" dataDxfId="937">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6">
      <calculatedColumnFormula>_xlfn.SINGLE(INDEX(TblRaces[],MATCH(race,TblRaces[Race],0),4))</calculatedColumnFormula>
    </tableColumn>
    <tableColumn id="2" xr3:uid="{00000000-0010-0000-0000-000002000000}" name="Offense" dataDxfId="935">
      <calculatedColumnFormula>_xlfn.IFNA(INDEX(TblRaces[],MATCH(TblUnits[[#This Row],[Unit Names]],TblRaces[Unitname],0),5),"")</calculatedColumnFormula>
    </tableColumn>
    <tableColumn id="3" xr3:uid="{00000000-0010-0000-0000-000003000000}" name="Defense" dataDxfId="934">
      <calculatedColumnFormula>_xlfn.IFNA(INDEX(TblRaces[],MATCH(TblUnits[[#This Row],[Unit Names]],TblRaces[Unitname],0),6),"")</calculatedColumnFormula>
    </tableColumn>
    <tableColumn id="4" xr3:uid="{00000000-0010-0000-0000-000004000000}" name="Platinum" dataDxfId="933">
      <calculatedColumnFormula>_xlfn.IFNA(INDEX(TblRaces[],MATCH(TblUnits[[#This Row],[Unit Names]],TblRaces[Unitname],0),7),"")</calculatedColumnFormula>
    </tableColumn>
    <tableColumn id="5" xr3:uid="{00000000-0010-0000-0000-000005000000}" name="Ore" dataDxfId="932">
      <calculatedColumnFormula>_xlfn.IFNA(INDEX(TblRaces[],MATCH(TblUnits[[#This Row],[Unit Names]],TblRaces[Unitname],0),8),"")</calculatedColumnFormula>
    </tableColumn>
    <tableColumn id="6" xr3:uid="{00000000-0010-0000-0000-000006000000}" name="Networth" dataDxfId="931">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0" dataDxfId="928" headerRowBorderDxfId="929" tableBorderDxfId="927">
  <autoFilter ref="H14:I32" xr:uid="{6EDA5300-DB26-4799-A5D1-5432AC102827}">
    <filterColumn colId="0" hiddenButton="1"/>
    <filterColumn colId="1" hiddenButton="1"/>
  </autoFilter>
  <tableColumns count="2">
    <tableColumn id="1" xr3:uid="{C93253AD-A598-462C-985D-E538FB5404AF}" name="Race Bonuses" dataDxfId="926"/>
    <tableColumn id="2" xr3:uid="{7301230A-1354-4459-BA19-9D8AE9608978}" name="Bonus" dataDxfId="925"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4" dataDxfId="923" tableBorderDxfId="922">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1"/>
    <tableColumn id="2" xr3:uid="{F7BA9D3F-F979-435F-AF55-B8562C7F08C8}" name=" " dataDxfId="920"/>
    <tableColumn id="3" xr3:uid="{C661B1D0-1EAD-42B7-889A-9265EA75CB1D}" name="Offense" dataDxfId="919"/>
    <tableColumn id="4" xr3:uid="{594F8FE6-285D-432D-AB90-DE26655C8963}" name="Bonus" dataDxfId="918"/>
    <tableColumn id="5" xr3:uid="{1A4EBEB0-1016-4D5D-920D-08D8AD7AFC97}" name="OP Mod" dataDxfId="917"/>
    <tableColumn id="6" xr3:uid="{0A455978-2417-4AD7-8969-95433ADAC6F4}" name="Defense" dataDxfId="916"/>
    <tableColumn id="7" xr3:uid="{3C4FEC10-2BEB-4EC0-AA98-F67CC8DBE5B5}" name="DP Bonus" dataDxfId="915"/>
    <tableColumn id="8" xr3:uid="{9CE669CC-5E7B-4E7B-8FFE-265EB626E935}" name="DP Mod" dataDxfId="914"/>
    <tableColumn id="9" xr3:uid="{7DE0C022-18E9-48B5-8835-9B63E8CC1CDF}" name="." dataDxfId="913"/>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2" dataDxfId="910" headerRowBorderDxfId="911" tableBorderDxfId="909">
  <autoFilter ref="H47:J51" xr:uid="{86CCA094-2F84-4D6A-BB34-AED37B4839D4}">
    <filterColumn colId="0" hiddenButton="1"/>
    <filterColumn colId="1" hiddenButton="1"/>
    <filterColumn colId="2" hiddenButton="1"/>
  </autoFilter>
  <tableColumns count="3">
    <tableColumn id="1" xr3:uid="{E0152EC7-4145-4063-BAB4-B6301A014F4B}" name="Type" dataDxfId="908"/>
    <tableColumn id="2" xr3:uid="{FAE1A1FE-F8EC-48F0-A8AF-ADF4B1F44E93}" name="Raw" dataDxfId="907"/>
    <tableColumn id="3" xr3:uid="{AFD4C97E-F124-4CC9-8087-32A6EB65C3D5}" name="Modded" dataDxfId="906"/>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5" dataDxfId="903" headerRowBorderDxfId="904" tableBorderDxfId="902">
  <autoFilter ref="H54:J57" xr:uid="{4A95BFF0-5AE4-4064-BA31-9F687E8E34BD}">
    <filterColumn colId="0" hiddenButton="1"/>
    <filterColumn colId="1" hiddenButton="1"/>
    <filterColumn colId="2" hiddenButton="1"/>
  </autoFilter>
  <tableColumns count="3">
    <tableColumn id="1" xr3:uid="{ACCDFB1C-E1AE-4F10-BB67-59F2B9780D01}" name="Hour" dataDxfId="901"/>
    <tableColumn id="2" xr3:uid="{277A266C-0AEF-4864-99C7-1E807FF68978}" name="Amount" dataDxfId="900"/>
    <tableColumn id="3" xr3:uid="{DD724D20-8039-4E15-A45D-F535D999ED97}" name="Without Training" dataDxfId="899"/>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8" dataDxfId="897" totalsRowDxfId="895" tableBorderDxfId="896">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4" totalsRowDxfId="893"/>
    <tableColumn id="2" xr3:uid="{739DBC51-BC77-4631-B107-088DC25245EB}" name="Amount" totalsRowFunction="sum" dataDxfId="892" totalsRowDxfId="891"/>
    <tableColumn id="3" xr3:uid="{41BF49B0-731E-480A-A25D-802B4380182E}" name="Relative" totalsRowFunction="custom" totalsRowDxfId="890"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9" dataDxfId="888" tableBorderDxfId="887">
  <autoFilter ref="D46:F69" xr:uid="{6C8ACB43-975F-416A-A510-CF883452891C}">
    <filterColumn colId="0" hiddenButton="1"/>
    <filterColumn colId="1" hiddenButton="1"/>
    <filterColumn colId="2" hiddenButton="1"/>
  </autoFilter>
  <tableColumns count="3">
    <tableColumn id="1" xr3:uid="{97F6A0D7-4C71-45E8-A9DA-F3DBEC3693D1}" name="Acres" dataDxfId="886"/>
    <tableColumn id="2" xr3:uid="{70370623-AE12-4AC1-B3BC-5FA6F33097E0}" name=" " dataDxfId="885"/>
    <tableColumn id="3" xr3:uid="{76F2AA18-B160-4225-A8AB-03D1370169AB}" name="   " dataDxfId="884"/>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3" dataDxfId="881" headerRowBorderDxfId="882" tableBorderDxfId="880">
  <autoFilter ref="D14:E18" xr:uid="{AF658822-94AE-4FD8-9D6D-E660E1B5C629}">
    <filterColumn colId="0" hiddenButton="1"/>
    <filterColumn colId="1" hiddenButton="1"/>
  </autoFilter>
  <tableColumns count="2">
    <tableColumn id="1" xr3:uid="{EFD90BA2-CBAC-4BDB-9434-40FB9C2485F4}" name="Date&amp;Time" dataDxfId="879"/>
    <tableColumn id="2" xr3:uid="{CCEF9A0F-7383-4941-A440-9E2452942487}" name="." dataDxfId="878"/>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1" dataDxfId="870" totalsRowDxfId="869">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8" totalsRowDxfId="867">
      <calculatedColumnFormula>TblRezone[[#This Row],[Hour]]</calculatedColumnFormula>
    </tableColumn>
    <tableColumn id="2" xr3:uid="{7657952B-D9DB-46FC-BD8D-612DECDC04FD}" name="Time" dataDxfId="866" totalsRowDxfId="865">
      <calculatedColumnFormula>TblImps[[#This Row],[Time]]</calculatedColumnFormula>
    </tableColumn>
    <tableColumn id="3" xr3:uid="{767542B9-4E58-42E2-85BA-5C1DB6108363}" name="Peasants" dataDxfId="864" totalsRow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Row],[Towers]]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Row],[Lumber]]*lumber_rot*(1+Military!$CL$13*Races!$AB$81) * (1 + tech_2_1*TblTech[[#This Row],[2-1]] + tech_2_8*TblTech[[#This Row],[2-8]] + tech_5_2*TblTech[[#This Row],[5-2]])</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Military!$CL$25*TblMili[[#This Row],[Sec. rec. Cost]]</calculatedColumnFormula>
    </tableColumn>
    <tableColumn id="48" xr3:uid="{3C88EFC6-8DA5-40ED-A97A-2AAFD0B3B6AD}" name="Expenses Mana" dataDxfId="751">
      <calculatedColumnFormula>TblMagic[[#This Row],[Mana cost]] + Military!$CL$26*TblMili[[#This Row],[Sec. rec. Cost]]</calculatedColumnFormula>
    </tableColumn>
    <tableColumn id="49" xr3:uid="{1E4E3815-206F-4A61-AE33-CA14E995FDCB}" name="Expenses Ore" dataDxfId="750">
      <calculatedColumnFormula>Military!$CL$24*TblMili[[#This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2" dataDxfId="380" headerRowBorderDxfId="381" tableBorderDxfId="379">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39" xr3:uid="{29C90460-5421-4EA7-A4CB-BDA1C40BF8A1}" name="…..." dataDxfId="338"/>
    <tableColumn id="40" xr3:uid="{2C04ED42-9AAF-4375-A8D4-18DA4B397FAA}" name="Platinum" dataDxfId="337">
      <calculatedColumnFormula>TblProd[[#This Row],[Platinum]]</calculatedColumnFormula>
    </tableColumn>
    <tableColumn id="41" xr3:uid="{122C6EDE-4C24-4A3C-9FA2-6A7942348604}" name="Secondary recource" dataDxfId="336">
      <calculatedColumnFormula>INDEX(TblProd[[#Headers],[Lumber]]:TblProd[[#This Row],[Ore]],COUNTA(TblProd[[#Headers],[Lumber]]:TblProd[[#This Row],[Lumber]]),MATCH(Military!$AQ$2,TblProd[[#Headers],[Lumber]:[Ore]],0))</calculatedColumnFormula>
    </tableColumn>
    <tableColumn id="42" xr3:uid="{AD4D72D1-3860-48CA-B3DA-ADFB8307154A}" name="Plat Cost" dataDxfId="33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3">
      <calculatedColumnFormula>TblMili[[#This Row],[Hour]]</calculatedColumnFormula>
    </tableColumn>
    <tableColumn id="45" xr3:uid="{20B1F70F-03BF-43F5-9126-6B2FF45FE149}" name="Time " dataDxfId="332">
      <calculatedColumnFormula>TblMili[[#This Row],[Time]]</calculatedColumnFormula>
    </tableColumn>
    <tableColumn id="46" xr3:uid="{32831987-A30D-4329-BB1C-DB47E6B77B54}" name="Draftees22" dataDxfId="331">
      <calculatedColumnFormula>TblMili[[#This Row],[Draftees]]</calculatedColumnFormula>
    </tableColumn>
    <tableColumn id="47" xr3:uid="{7EBE7BE4-37D1-4B52-B049-F9BE4ABBBADC}" name="Release Draft" dataDxfId="330"/>
    <tableColumn id="48" xr3:uid="{C3BB0EE7-6180-4099-B663-EFA3F1503DB3}" name="Release Unit 1" dataDxfId="329"/>
    <tableColumn id="49" xr3:uid="{EDF7E463-807D-4CE2-B63E-18766260768C}" name="Release Unit 2" dataDxfId="328"/>
    <tableColumn id="50" xr3:uid="{A1BE9DD8-455A-4FAA-8154-5BB2D1A53261}" name="Release Unit 3" dataDxfId="327"/>
    <tableColumn id="51" xr3:uid="{4FE1D56E-EA47-4DF6-B5A4-E78C1D5F5774}" name="Release Unit 4" dataDxfId="326"/>
    <tableColumn id="52" xr3:uid="{F0F9CB78-BA40-4031-AC17-0AB88B159B60}" name="Release Spies" dataDxfId="325"/>
    <tableColumn id="108" xr3:uid="{118BE0C9-E863-4E5F-98D5-187B99319B85}" name="Release AS" dataDxfId="324"/>
    <tableColumn id="53" xr3:uid="{3CC7AC8A-814F-42C4-B491-A6DFD7A4A93E}" name="Release Wizards" dataDxfId="323"/>
    <tableColumn id="54" xr3:uid="{BCB616C3-3465-4473-B27B-B25584160E71}" name="Release AM" dataDxfId="322"/>
    <tableColumn id="55" xr3:uid="{6B6EC03F-2A6A-47EB-A7F1-0DFE335A330A}" name="Column31" dataDxfId="321"/>
    <tableColumn id="56" xr3:uid="{71F6F49D-CD22-4E5F-BBB5-61150307312C}" name="WG's" dataDxfId="320">
      <calculatedColumnFormula>TblConstr[[#This Row],[Tot WG]]/TblConstr[[#This Row],[Land]]</calculatedColumnFormula>
    </tableColumn>
    <tableColumn id="57" xr3:uid="{B8AC3F70-AED4-4E5E-9FFD-FF94CB39B791}" name="FH's" dataDxfId="319">
      <calculatedColumnFormula>TblConstr[[#This Row],[Tot Hav]]/TblConstr[[#This Row],[Land]]</calculatedColumnFormula>
    </tableColumn>
    <tableColumn id="58" xr3:uid="{140FE3B0-18E6-43AA-A625-E817354E2D53}" name="OP Plat" dataDxfId="31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1">
      <calculatedColumnFormula>ROUNDUP(IF(OR(race="Gnome", race="High Elf"),1,(1-MIN(TblMili[[#This Row],[Smithies]]*smithy_bonus,smithy_bonus_cap) + tech_3_5*TblTech[[#This Row],[3-5]] + tech_5_3*TblTech[[#This Row],[5-3]] + tech_5_5*TblTech[[#This Row],[5-5]]))*spec_op_ore,0)</calculatedColumnFormula>
    </tableColumn>
    <tableColumn id="60" xr3:uid="{8AA2D26B-2110-4B26-8880-40E87C912F04}" name="DP Plat" dataDxfId="317">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0">
      <calculatedColumnFormula>ROUNDUP(IF(OR(race="Gnome", race="High Elf"),1,(1-MIN(TblMili[[#This Row],[Smithies]]*smithy_bonus,smithy_bonus_cap) + tech_3_5*TblTech[[#This Row],[3-5]] + tech_5_3*TblTech[[#This Row],[5-3]] + tech_5_5*TblTech[[#This Row],[5-5]]))*spec_dp_ore,0)</calculatedColumnFormula>
    </tableColumn>
    <tableColumn id="62" xr3:uid="{9D5E1AB5-0235-4EFB-B5E7-DBD807976D93}" name="E1 Plat" dataDxfId="316">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5">
      <calculatedColumnFormula>ROUNDUP(IF(OR(race="Gnome", race="High Elf"),1,(1-MIN(TblMili[[#This Row],[Smithies]]*smithy_bonus,smithy_bonus_cap) + tech_3_5*TblTech[[#This Row],[3-5]] + tech_5_3*TblTech[[#This Row],[5-3]] + tech_5_5*TblTech[[#This Row],[5-5]]))*elite1_ore,0)</calculatedColumnFormula>
    </tableColumn>
    <tableColumn id="64" xr3:uid="{21068645-9A68-4A26-8C4A-1B604A650C88}" name="E2 Plat" dataDxfId="314">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3">
      <calculatedColumnFormula>ROUNDUP(IF(OR(race="Gnome", race="High Elf"),1,(1-MIN(TblMili[[#This Row],[Smithies]]*smithy_bonus,smithy_bonus_cap) + tech_3_5*TblTech[[#This Row],[3-5]] + tech_5_3*TblTech[[#This Row],[5-3]] + tech_5_5*TblTech[[#This Row],[5-5]]))*elite2_ore,0)</calculatedColumnFormula>
    </tableColumn>
    <tableColumn id="66" xr3:uid="{18996F1D-EA30-4CE6-9DF8-3AAADAC482ED}" name="Spie cost" dataDxfId="312">
      <calculatedColumnFormula>ROUNDUP((1-MIN(ROUND(fh_spy_cost_red*TblMili[[#This Row],[FH''s]],4),fh_spy_cost_cap)+ tech_1_9*TblTech[[#This Row],[1-9]] + tech_9_1*TblTech[[#This Row],[9-1]])*spy_plat,0)</calculatedColumnFormula>
    </tableColumn>
    <tableColumn id="110" xr3:uid="{E3910BF3-0412-473B-852A-F6A0FE497DE5}" name="ASs Cost" dataDxfId="311">
      <calculatedColumnFormula>ROUNDUP((1-MIN(ROUND(fh_spy_cost_red*TblMili[[#This Row],[FH''s]],4),fh_spy_cost_cap)+ tech_1_9*TblTech[[#This Row],[1-9]] + tech_9_1*TblTech[[#This Row],[9-1]])*archspy_plat,0)</calculatedColumnFormula>
    </tableColumn>
    <tableColumn id="67" xr3:uid="{CDB40042-773A-4CE1-B670-B62BC884A947}" name="Wizzies cost" dataDxfId="310">
      <calculatedColumnFormula>ROUNDUP((1-MIN(ROUND(wg_wiz_cost_bonus*TblMili[[#This Row],[WG''s]],4),wg_wiz_cost_cap) + tech_1_9_2*TblTech[[#This Row],[1-9]] + tech_9_1_2*TblTech[[#This Row],[9-1]])*wizard_plat,0)</calculatedColumnFormula>
    </tableColumn>
    <tableColumn id="68" xr3:uid="{1053234A-AE18-4A82-94FC-D94692087DE3}" name="AMs cost" dataDxfId="309">
      <calculatedColumnFormula>ROUNDUP((1-MIN(ROUND(wg_wiz_cost_bonus*TblMili[[#This Row],[WG''s]],4),wg_wiz_cost_cap) + tech_1_9_2*TblTech[[#This Row],[1-9]] + tech_9_1_2*TblTech[[#This Row],[9-1]])*archmage_plat,0)</calculatedColumnFormula>
    </tableColumn>
    <tableColumn id="69" xr3:uid="{9D11DA92-CF6B-4838-B51B-494833977486}" name="…2" dataDxfId="308"/>
    <tableColumn id="70" xr3:uid="{1F713D65-CE26-4E75-AF9C-1E2610D02FB6}" name="Hill" dataDxfId="307">
      <calculatedColumnFormula>TblConstr[[#This Row],[Homeland]]/TblConstr[[#This Row],[Land]]</calculatedColumnFormula>
    </tableColumn>
    <tableColumn id="71" xr3:uid="{FBD620E0-8F97-4BED-916D-A8962B459E13}" name="WG" dataDxfId="306">
      <calculatedColumnFormula>TblMili[[#This Row],[WG''s]]</calculatedColumnFormula>
    </tableColumn>
    <tableColumn id="72" xr3:uid="{0F482B90-6164-42A0-AC1A-EB6CBE2239E0}" name="Mystic" dataDxfId="305">
      <calculatedColumnFormula>IF(mystic_cap="none",TblMili[[#This Row],[Hill]]/mystic_bonus,MIN(mystic_cap,TblMili[[#This Row],[Hill]]/mystic_bonus))</calculatedColumnFormula>
    </tableColumn>
    <tableColumn id="73" xr3:uid="{2FD25056-5068-463F-8553-3D2CFBDBD80D}" name="Druid (op)" dataDxfId="304">
      <calculatedColumnFormula>IF(druid_op_cap="none",TblMili[[#This Row],[Hill]]/druid_op_bonus,MIN(druid_op_cap,TblMili[[#This Row],[Hill]]/druid_op_bonus))</calculatedColumnFormula>
    </tableColumn>
    <tableColumn id="74" xr3:uid="{53018DF3-E735-41C7-A3D0-8E634866C57E}" name="Druid (dp)" dataDxfId="303">
      <calculatedColumnFormula>IF(druid_dp_cap="none",TblMili[[#This Row],[Hill]]/druid_dp_bonus,MIN(druid_dp_cap,TblMili[[#This Row],[Hill]]/druid_dp_bonus))</calculatedColumnFormula>
    </tableColumn>
    <tableColumn id="75" xr3:uid="{7F4EE74D-9905-4DF0-A5F6-DDC9D0115356}" name="Dryad" dataDxfId="302">
      <calculatedColumnFormula>MIN(dryad_cap,TblMili[[#This Row],[Hill]]/dryad_bonus)</calculatedColumnFormula>
    </tableColumn>
    <tableColumn id="76" xr3:uid="{E7F9826C-05CD-49D4-95DF-ECCD467D1341}" name="Rockapult" dataDxfId="301">
      <calculatedColumnFormula>MIN(rocka_cap,TblMili[[#This Row],[Hill]]/rocka_bonus)</calculatedColumnFormula>
    </tableColumn>
    <tableColumn id="77" xr3:uid="{A26FFF73-DC56-4E66-8A0E-51A9C837AE8D}" name="Spellblade" dataDxfId="300">
      <calculatedColumnFormula>MIN(adept_op_cap,TblMili[[#This Row],[WG]]/adept_op_bonus)</calculatedColumnFormula>
    </tableColumn>
    <tableColumn id="78" xr3:uid="{A5F9372F-5EBA-4E5A-AB3F-5A786DE5FEB0}" name="Adept-DP" dataDxfId="299">
      <calculatedColumnFormula>MIN(adept_dp_cap,TblMili[[#This Row],[WG]]/adept_dp_bonus)</calculatedColumnFormula>
    </tableColumn>
    <tableColumn id="79" xr3:uid="{FF50DABE-A375-4222-848D-9C4D1D0FC999}" name="Beasts" dataDxfId="298">
      <calculatedColumnFormula>MIN(TblMili[[#This Row],[Unit 3]],TblMili[[#This Row],[Unit 2]])*2</calculatedColumnFormula>
    </tableColumn>
    <tableColumn id="80" xr3:uid="{FFCDA044-2FD9-4119-B82B-7914D887B7F4}" name="Overlords" dataDxfId="297">
      <calculatedColumnFormula>MIN(TblMili[[#This Row],[Unit 1]],TblMili[[#This Row],[Unit 4]])*2</calculatedColumnFormula>
    </tableColumn>
    <tableColumn id="81" xr3:uid="{00DE2C4D-2323-42A0-B749-2FB5F4E28DBF}" name="Frost Mage" dataDxfId="296">
      <calculatedColumnFormula>MIN(frost_mage_cap,TblMili[[#This Row],[Hill]]/frost_mage_bonus)</calculatedColumnFormula>
    </tableColumn>
    <tableColumn id="82" xr3:uid="{BB055F70-3593-48E8-A32F-2C3BC4E6D218}" name="Ice Elemental" dataDxfId="295">
      <calculatedColumnFormula>MIN(ice_elem_cap,TblMili[[#This Row],[Raw (2)]]*ice_elem_bonus)</calculatedColumnFormula>
    </tableColumn>
    <tableColumn id="83" xr3:uid="{1158BE59-7C9D-4D41-AE99-4249CB18E29F}" name="Orc" dataDxfId="294">
      <calculatedColumnFormula>MIN(bone_breaker_cap,250/bone_breaker_bonus)</calculatedColumnFormula>
    </tableColumn>
    <tableColumn id="84" xr3:uid="{76252BAC-90E5-49A7-B5F9-E399F71EA45D}" name="Nox" dataDxfId="293">
      <calculatedColumnFormula>MIN(nox_nightshade_cap,TblConstr[[#This Row],[Homeland]]/TblConstr[[#This Row],[Land]]/nox_nightshade_swamp_bonus)</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2" dataDxfId="260" headerRowBorderDxfId="261" tableBorderDxfId="259">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Frenz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21" xr3:uid="{4F53D2F5-E2E8-4AEE-975D-5B925FA589B0}" name="Useless spell" dataDxfId="237"/>
    <tableColumn id="22" xr3:uid="{E7040239-1040-4E8C-8EEB-3D517AC825BD}" name="." dataDxfId="236"/>
    <tableColumn id="23" xr3:uid="{8F45EE21-92D1-4622-B103-16B477DF630B}" name="Mana cost" dataDxfId="23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4">
      <calculatedColumnFormula>SUMIF(TblMagic[[#This Row],[Gaia''s Watch]:[Useless spell]],1)*0.05</calculatedColumnFormula>
    </tableColumn>
    <tableColumn id="25" xr3:uid="{2466DF86-89FE-4172-9850-F9FBAE56839D}" name=".." dataDxfId="233"/>
    <tableColumn id="26" xr3:uid="{F8559349-C288-4EC3-B38A-23771E549D1D}" name="Active Gaia's Watch" dataDxfId="232">
      <calculatedColumnFormula>IF(TblMagic[[#This Row],[Gaia''s Watch]],12,IF(OFFSET(TblMagic[[#This Row],[Active Gaia''s Watch]],-1,0)&gt;0,OFFSET(TblMagic[[#This Row],[Active Gaia''s Watch]],-1,0)-1,0))</calculatedColumnFormula>
    </tableColumn>
    <tableColumn id="27" xr3:uid="{00F45689-4686-422F-8E94-89C18992B261}" name="Active Mining Strength" dataDxfId="23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0">
      <calculatedColumnFormula>IF(TblMagic[[#This Row],[Ares Call]],12,IF(OFFSET(TblMagic[[#This Row],[Active Ares Call]],-1,0)&gt;0,OFFSET(TblMagic[[#This Row],[Active Ares Call]],-1,0)-1,0))</calculatedColumnFormula>
    </tableColumn>
    <tableColumn id="29" xr3:uid="{BCC9ACB6-69AC-4DA1-B07D-F4802162CEF5}" name="Active Midas Touch" dataDxfId="229">
      <calculatedColumnFormula>IF(TblMagic[[#This Row],[Midas Touch]],12,IF(OFFSET(TblMagic[[#This Row],[Active Midas Touch]],-1,0)&gt;0,OFFSET(TblMagic[[#This Row],[Active Midas Touch]],-1,0)-1,0))</calculatedColumnFormula>
    </tableColumn>
    <tableColumn id="30" xr3:uid="{D13DA239-CC1B-41FD-A41B-68906B10F262}" name="Active Harmony" dataDxfId="228">
      <calculatedColumnFormula>IF(TblMagic[[#This Row],[Harmony]],12,IF(OFFSET(TblMagic[[#This Row],[Active Harmony]],-1,0)&gt;0,OFFSET(TblMagic[[#This Row],[Active Harmony]],-1,0)-1,0))</calculatedColumnFormula>
    </tableColumn>
    <tableColumn id="31" xr3:uid="{10D4FEA0-0AA8-4F31-8F5A-8576AE611BDA}" name="Active Miner's Sight" dataDxfId="22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6">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5">
      <calculatedColumnFormula>IF(TblMagic[[#This Row],[Frenzy]],12,IF(OFFSET(TblMagic[[#This Row],[Active Frenzy]],-1,0)&gt;0,OFFSET(TblMagic[[#This Row],[Active Frenzy]],-1,0)-1,0))</calculatedColumnFormula>
    </tableColumn>
    <tableColumn id="34" xr3:uid="{3460E27B-FD4A-47FC-A87F-BAFED0FCC033}" name="Active Warsong / Killing Rage / Bloodrage" dataDxfId="22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3">
      <calculatedColumnFormula>IF(TblMagic[[#This Row],[Gaia''s Blessing]],12,IF(OFFSET(TblMagic[[#This Row],[Active Gaia''s Blessing]],-1,0)&gt;0,OFFSET(TblMagic[[#This Row],[Active Gaia''s Blessing]],-1,0)-1,0))</calculatedColumnFormula>
    </tableColumn>
    <tableColumn id="36" xr3:uid="{DB2BE469-2BE3-4333-BFBC-C2857399E743}" name="Active Howling" dataDxfId="222">
      <calculatedColumnFormula>IF(TblMagic[[#This Row],[Howling]],12,IF(OFFSET(TblMagic[[#This Row],[Active Howling]],-1,0)&gt;0,OFFSET(TblMagic[[#This Row],[Active Howling]],-1,0)-1,0))</calculatedColumnFormula>
    </tableColumn>
    <tableColumn id="37" xr3:uid="{F5838FA3-8068-44AA-A6A2-758F46E5F78D}" name="Active Alch Frost" dataDxfId="221">
      <calculatedColumnFormula>IF(TblMagic[[#This Row],[Alchemist Frost]],12,IF(OFFSET(TblMagic[[#This Row],[Active Alch Frost]],-1,0)&gt;0,OFFSET(TblMagic[[#This Row],[Active Alch Frost]],-1,0)-1,0))</calculatedColumnFormula>
    </tableColumn>
    <tableColumn id="38" xr3:uid="{11215FCC-A994-4C4E-835C-F365C4B7BDF8}" name="Active Alchemists Flame" dataDxfId="22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9">
      <calculatedColumnFormula>IF(TblMagic[[#This Row],[Nightfall]],12,IF(OFFSET(TblMagic[[#This Row],[Active Nightfall]],-1,0)&gt;0,OFFSET(TblMagic[[#This Row],[Active Nightfall]],-1,0)-1,0))</calculatedColumnFormula>
    </tableColumn>
    <tableColumn id="41" xr3:uid="{E8FFEB0A-82D1-4B3D-86CE-6103CDF8A0FD}" name="Active Favorable Terrain" dataDxfId="218">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7" dataDxfId="216">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5">
      <calculatedColumnFormula>TblRezone[[#This Row],[Hour]]</calculatedColumnFormula>
    </tableColumn>
    <tableColumn id="3" xr3:uid="{DA4A1ACF-68D6-4564-BB1C-C3C3172606A1}" name="Land" dataDxfId="214">
      <calculatedColumnFormula>TblExplore[[#This Row],[Land-DB]]</calculatedColumnFormula>
    </tableColumn>
    <tableColumn id="4" xr3:uid="{05D0DCAF-595D-47DB-9D6C-DB4A543CF655}" name="Techpoints" dataDxfId="213">
      <calculatedColumnFormula>TblProd[[#This Row],[Techpoints]]</calculatedColumnFormula>
    </tableColumn>
    <tableColumn id="5" xr3:uid="{B8D24105-AE76-4A7C-9D26-589CB9891ED4}" name="Cost" dataDxfId="212">
      <calculatedColumnFormula>TblProd[[#This Row],[Required]]</calculatedColumnFormula>
    </tableColumn>
    <tableColumn id="93" xr3:uid="{2ABEB4AB-3FE9-4283-8DD1-DADEE729E1F4}" name="." dataDxfId="211"/>
    <tableColumn id="9" xr3:uid="{94ADF196-65A4-42D5-B9F1-902A2448736A}" name="Activate @ hour" dataDxfId="210"/>
    <tableColumn id="10" xr3:uid="{41EC03BC-D935-4DB1-9358-D7E68CB11DA3}" name="Number" dataDxfId="209"/>
    <tableColumn id="19" xr3:uid="{8781F361-D9CA-4DDC-83D1-8F9FCDC61FD4}" name="Tech name" dataDxfId="208"/>
    <tableColumn id="11" xr3:uid="{ED497BC4-A3FE-4968-980C-41E3E397E8F1}" name="Gains" dataDxfId="207"/>
    <tableColumn id="20" xr3:uid="{B66F94F3-B0AC-4CC0-9E7C-4CF7E4C92EEE}" name=".." dataDxfId="206"/>
    <tableColumn id="21" xr3:uid="{4775993E-7C72-4134-8A78-3FB7DCE45728}" name="…" dataDxfId="205">
      <calculatedColumnFormula>IF(TblTech[[#This Row],[Sum of tech]]&lt;&gt;OFFSET(TblTech[[#This Row],[Sum of tech]],-1,0),1,0)</calculatedColumnFormula>
    </tableColumn>
    <tableColumn id="22" xr3:uid="{DFF59F63-FD6B-45DE-9EEF-3899A7D747EF}" name="Sum of tech" dataDxfId="204">
      <calculatedColumnFormula>COUNTIF(TblTech[[#This Row],[1-1]:[11-1]],1)</calculatedColumnFormula>
    </tableColumn>
    <tableColumn id="23" xr3:uid="{26B2ED42-21EF-41D3-8431-65B8DCB84C2C}" name="1-1" dataDxfId="203">
      <calculatedColumnFormula array="1">IF(AND(M$2&lt;&gt;0,TblTech[[#This Row],[Hour]:[Hour]]&gt;=M$2),1,0)</calculatedColumnFormula>
    </tableColumn>
    <tableColumn id="24" xr3:uid="{50258140-FB02-4B3A-8985-9EF35792D437}" name="1-2" dataDxfId="202">
      <calculatedColumnFormula array="1">IF(AND(N$2&lt;&gt;0,TblTech[[#This Row],[Hour]:[Hour]]&gt;=N$2),1,0)</calculatedColumnFormula>
    </tableColumn>
    <tableColumn id="25" xr3:uid="{7124BFDC-5B72-4806-BD66-A9B40B96E890}" name="1-3" dataDxfId="201">
      <calculatedColumnFormula array="1">IF(AND(O$2&lt;&gt;0,TblTech[[#This Row],[Hour]:[Hour]]&gt;=O$2),1,0)</calculatedColumnFormula>
    </tableColumn>
    <tableColumn id="26" xr3:uid="{7F0A139B-B30E-4409-9274-8016025EA227}" name="1-4" dataDxfId="200">
      <calculatedColumnFormula array="1">IF(AND(P$2&lt;&gt;0,TblTech[[#This Row],[Hour]:[Hour]]&gt;=P$2),1,0)</calculatedColumnFormula>
    </tableColumn>
    <tableColumn id="27" xr3:uid="{29B9EAE2-227D-4807-9E41-445565CAAFF7}" name="1-5" dataDxfId="199">
      <calculatedColumnFormula array="1">IF(AND(Q$2&lt;&gt;0,TblTech[[#This Row],[Hour]:[Hour]]&gt;=Q$2),1,0)</calculatedColumnFormula>
    </tableColumn>
    <tableColumn id="28" xr3:uid="{43587F1E-C217-44F9-817A-0114F7F48D02}" name="1-6" dataDxfId="198">
      <calculatedColumnFormula array="1">IF(AND(R$2&lt;&gt;0,TblTech[[#This Row],[Hour]:[Hour]]&gt;=R$2),1,0)</calculatedColumnFormula>
    </tableColumn>
    <tableColumn id="29" xr3:uid="{0524F9E6-09EC-4986-B7A6-35B925952E60}" name="1-7" dataDxfId="197">
      <calculatedColumnFormula array="1">IF(AND(S$2&lt;&gt;0,TblTech[[#This Row],[Hour]:[Hour]]&gt;=S$2),1,0)</calculatedColumnFormula>
    </tableColumn>
    <tableColumn id="30" xr3:uid="{188B6808-99A1-4A91-A689-87097F62C1C1}" name="1-8" dataDxfId="196">
      <calculatedColumnFormula array="1">IF(AND(T$2&lt;&gt;0,TblTech[[#This Row],[Hour]:[Hour]]&gt;=T$2),1,0)</calculatedColumnFormula>
    </tableColumn>
    <tableColumn id="31" xr3:uid="{DC02C18F-47C9-4A23-8F34-9E02A677D29B}" name="1-9" dataDxfId="195">
      <calculatedColumnFormula array="1">IF(AND(U$2&lt;&gt;0,TblTech[[#This Row],[Hour]:[Hour]]&gt;=U$2),1,0)</calculatedColumnFormula>
    </tableColumn>
    <tableColumn id="32" xr3:uid="{21B6A564-7028-4932-914B-F32A59CAEC67}" name="1-10" dataDxfId="194">
      <calculatedColumnFormula array="1">IF(AND(V$2&lt;&gt;0,TblTech[[#This Row],[Hour]:[Hour]]&gt;=V$2),1,0)</calculatedColumnFormula>
    </tableColumn>
    <tableColumn id="33" xr3:uid="{BE08B152-511E-4680-AD58-AFCC2777EE65}" name="1-11" dataDxfId="193">
      <calculatedColumnFormula array="1">IF(AND(W$2&lt;&gt;0,TblTech[[#This Row],[Hour]:[Hour]]&gt;=W$2),1,0)</calculatedColumnFormula>
    </tableColumn>
    <tableColumn id="34" xr3:uid="{F0B67B28-DF8B-4FF4-BE8F-BD953642450D}" name="2-1" dataDxfId="192">
      <calculatedColumnFormula array="1">IF(AND(X$2&lt;&gt;0,TblTech[[#This Row],[Hour]:[Hour]]&gt;=X$2),1,0)</calculatedColumnFormula>
    </tableColumn>
    <tableColumn id="35" xr3:uid="{E1C38FB5-1814-43BE-8628-9E331159B491}" name="2-2" dataDxfId="191">
      <calculatedColumnFormula array="1">IF(AND(Y$2&lt;&gt;0,TblTech[[#This Row],[Hour]:[Hour]]&gt;=Y$2),1,0)</calculatedColumnFormula>
    </tableColumn>
    <tableColumn id="36" xr3:uid="{8EEFA1A3-F668-44A9-99D5-F625CDEC0846}" name="2-3" dataDxfId="190">
      <calculatedColumnFormula array="1">IF(AND(Z$2&lt;&gt;0,TblTech[[#This Row],[Hour]:[Hour]]&gt;=Z$2),1,0)</calculatedColumnFormula>
    </tableColumn>
    <tableColumn id="37" xr3:uid="{8B9C353C-5141-4E70-88A8-3C0ADC0F65A2}" name="2-4" dataDxfId="189">
      <calculatedColumnFormula array="1">IF(AND(AA$2&lt;&gt;0,TblTech[[#This Row],[Hour]:[Hour]]&gt;=AA$2),1,0)</calculatedColumnFormula>
    </tableColumn>
    <tableColumn id="38" xr3:uid="{4F9949FA-D32C-43B0-A632-BDA246027740}" name="2-5" dataDxfId="188">
      <calculatedColumnFormula array="1">IF(AND(AB$2&lt;&gt;0,TblTech[[#This Row],[Hour]:[Hour]]&gt;=AB$2),1,0)</calculatedColumnFormula>
    </tableColumn>
    <tableColumn id="39" xr3:uid="{E35ABE45-7462-4288-879B-43C24510B588}" name="2-6" dataDxfId="187">
      <calculatedColumnFormula array="1">IF(AND(AC$2&lt;&gt;0,TblTech[[#This Row],[Hour]:[Hour]]&gt;=AC$2),1,0)</calculatedColumnFormula>
    </tableColumn>
    <tableColumn id="40" xr3:uid="{B02ACA29-3024-4B8E-B2F0-E65F48E762BF}" name="2-7" dataDxfId="186">
      <calculatedColumnFormula array="1">IF(AND(AD$2&lt;&gt;0,TblTech[[#This Row],[Hour]:[Hour]]&gt;=AD$2),1,0)</calculatedColumnFormula>
    </tableColumn>
    <tableColumn id="41" xr3:uid="{34022863-F0D7-473E-B433-052438597C70}" name="2-8" dataDxfId="185">
      <calculatedColumnFormula array="1">IF(AND(AE$2&lt;&gt;0,TblTech[[#This Row],[Hour]:[Hour]]&gt;=AE$2),1,0)</calculatedColumnFormula>
    </tableColumn>
    <tableColumn id="42" xr3:uid="{4264B147-345F-4187-898B-976D4720C3B2}" name="2-9" dataDxfId="184">
      <calculatedColumnFormula array="1">IF(AND(AF$2&lt;&gt;0,TblTech[[#This Row],[Hour]:[Hour]]&gt;=AF$2),1,0)</calculatedColumnFormula>
    </tableColumn>
    <tableColumn id="43" xr3:uid="{040A812F-9A82-4FA5-96D4-BB0CE9B1567D}" name="2-10" dataDxfId="183">
      <calculatedColumnFormula array="1">IF(AND(AG$2&lt;&gt;0,TblTech[[#This Row],[Hour]:[Hour]]&gt;=AG$2),1,0)</calculatedColumnFormula>
    </tableColumn>
    <tableColumn id="44" xr3:uid="{65E9F477-8A73-4C7D-9453-E8F8A13C4220}" name="3-1" dataDxfId="182">
      <calculatedColumnFormula array="1">IF(AND(AH$2&lt;&gt;0,TblTech[[#This Row],[Hour]:[Hour]]&gt;=AH$2),1,0)</calculatedColumnFormula>
    </tableColumn>
    <tableColumn id="45" xr3:uid="{86A8FA88-B983-4431-9D5A-9A068F2DE89C}" name="3-2" dataDxfId="181">
      <calculatedColumnFormula array="1">IF(AND(AI$2&lt;&gt;0,TblTech[[#This Row],[Hour]:[Hour]]&gt;=AI$2),1,0)</calculatedColumnFormula>
    </tableColumn>
    <tableColumn id="46" xr3:uid="{B4D6E3D7-41BB-4A05-98AF-36C706567C66}" name="3-3" dataDxfId="180">
      <calculatedColumnFormula array="1">IF(AND(AJ$2&lt;&gt;0,TblTech[[#This Row],[Hour]:[Hour]]&gt;=AJ$2),1,0)</calculatedColumnFormula>
    </tableColumn>
    <tableColumn id="47" xr3:uid="{A65655BF-F389-46E7-B712-282C9B16E721}" name="3-4" dataDxfId="179">
      <calculatedColumnFormula array="1">IF(AND(AK$2&lt;&gt;0,TblTech[[#This Row],[Hour]:[Hour]]&gt;=AK$2),1,0)</calculatedColumnFormula>
    </tableColumn>
    <tableColumn id="48" xr3:uid="{6AC53AFF-C5BC-4C6E-A226-AD750DEF26F0}" name="3-5" dataDxfId="178">
      <calculatedColumnFormula array="1">IF(AND(AL$2&lt;&gt;0,TblTech[[#This Row],[Hour]:[Hour]]&gt;=AL$2),1,0)</calculatedColumnFormula>
    </tableColumn>
    <tableColumn id="49" xr3:uid="{517C8F30-6F70-4A9F-930D-87F70A281D06}" name="3-6" dataDxfId="177">
      <calculatedColumnFormula array="1">IF(AND(AM$2&lt;&gt;0,TblTech[[#This Row],[Hour]:[Hour]]&gt;=AM$2),1,0)</calculatedColumnFormula>
    </tableColumn>
    <tableColumn id="50" xr3:uid="{3B9D0CD9-1DC1-4BF8-84D6-0C15DCE53BA3}" name="3-7" dataDxfId="176">
      <calculatedColumnFormula array="1">IF(AND(AN$2&lt;&gt;0,TblTech[[#This Row],[Hour]:[Hour]]&gt;=AN$2),1,0)</calculatedColumnFormula>
    </tableColumn>
    <tableColumn id="51" xr3:uid="{BF773A1C-6C94-4253-89D5-6B882BDABD54}" name="3-8" dataDxfId="175">
      <calculatedColumnFormula array="1">IF(AND(AO$2&lt;&gt;0,TblTech[[#This Row],[Hour]:[Hour]]&gt;=AO$2),1,0)</calculatedColumnFormula>
    </tableColumn>
    <tableColumn id="52" xr3:uid="{D719799C-D81A-4575-B1F1-9835FB72D924}" name="3-9" dataDxfId="174">
      <calculatedColumnFormula array="1">IF(AND(AP$2&lt;&gt;0,TblTech[[#This Row],[Hour]:[Hour]]&gt;=AP$2),1,0)</calculatedColumnFormula>
    </tableColumn>
    <tableColumn id="53" xr3:uid="{81CD67AD-C2F6-496B-991C-75EACF4860E0}" name="4-1" dataDxfId="173">
      <calculatedColumnFormula array="1">IF(AND(AQ$2&lt;&gt;0,TblTech[[#This Row],[Hour]:[Hour]]&gt;=AQ$2),1,0)</calculatedColumnFormula>
    </tableColumn>
    <tableColumn id="54" xr3:uid="{3255B3D4-FF8E-4B91-8A83-C128D00B29D0}" name="4-2" dataDxfId="172">
      <calculatedColumnFormula array="1">IF(AND(AR$2&lt;&gt;0,TblTech[[#This Row],[Hour]:[Hour]]&gt;=AR$2),1,0)</calculatedColumnFormula>
    </tableColumn>
    <tableColumn id="55" xr3:uid="{E9B22F56-FCCE-4890-8FF4-FF6D8C0863D0}" name="4-3" dataDxfId="171">
      <calculatedColumnFormula array="1">IF(AND(AS$2&lt;&gt;0,TblTech[[#This Row],[Hour]:[Hour]]&gt;=AS$2),1,0)</calculatedColumnFormula>
    </tableColumn>
    <tableColumn id="56" xr3:uid="{1C0A6BE0-6DBC-40E6-B512-F921E4637B0B}" name="4-4" dataDxfId="170">
      <calculatedColumnFormula array="1">IF(AND(AT$2&lt;&gt;0,TblTech[[#This Row],[Hour]:[Hour]]&gt;=AT$2),1,0)</calculatedColumnFormula>
    </tableColumn>
    <tableColumn id="57" xr3:uid="{5DAC0420-BB86-481B-957A-78DB826A7E20}" name="4-5" dataDxfId="169">
      <calculatedColumnFormula array="1">IF(AND(AU$2&lt;&gt;0,TblTech[[#This Row],[Hour]:[Hour]]&gt;=AU$2),1,0)</calculatedColumnFormula>
    </tableColumn>
    <tableColumn id="58" xr3:uid="{2442830B-618D-4A03-A6E6-23EC65BAB59B}" name="4-6" dataDxfId="168">
      <calculatedColumnFormula array="1">IF(AND(AV$2&lt;&gt;0,TblTech[[#This Row],[Hour]:[Hour]]&gt;=AV$2),1,0)</calculatedColumnFormula>
    </tableColumn>
    <tableColumn id="59" xr3:uid="{8AB48F18-B215-484F-9058-BE5431D00ED5}" name="4-7" dataDxfId="167">
      <calculatedColumnFormula array="1">IF(AND(AW$2&lt;&gt;0,TblTech[[#This Row],[Hour]:[Hour]]&gt;=AW$2),1,0)</calculatedColumnFormula>
    </tableColumn>
    <tableColumn id="60" xr3:uid="{3B7FB99A-0607-4DBC-A93C-47B6B21464A5}" name="4-8" dataDxfId="166">
      <calculatedColumnFormula array="1">IF(AND(AX$2&lt;&gt;0,TblTech[[#This Row],[Hour]:[Hour]]&gt;=AX$2),1,0)</calculatedColumnFormula>
    </tableColumn>
    <tableColumn id="61" xr3:uid="{CFAAB1A4-4760-4FF3-BF0E-D276BAEF346A}" name="5-1" dataDxfId="165">
      <calculatedColumnFormula array="1">IF(AND(AY$2&lt;&gt;0,TblTech[[#This Row],[Hour]:[Hour]]&gt;=AY$2),1,0)</calculatedColumnFormula>
    </tableColumn>
    <tableColumn id="62" xr3:uid="{E5F62076-AF81-4EE1-A6D2-C4FBF4181C93}" name="5-2" dataDxfId="164">
      <calculatedColumnFormula array="1">IF(AND(AZ$2&lt;&gt;0,TblTech[[#This Row],[Hour]:[Hour]]&gt;=AZ$2),1,0)</calculatedColumnFormula>
    </tableColumn>
    <tableColumn id="63" xr3:uid="{EE3346E8-7A22-4F0A-94B7-B36570A0B72E}" name="5-3" dataDxfId="163">
      <calculatedColumnFormula array="1">IF(AND(BA$2&lt;&gt;0,TblTech[[#This Row],[Hour]:[Hour]]&gt;=BA$2),1,0)</calculatedColumnFormula>
    </tableColumn>
    <tableColumn id="64" xr3:uid="{19F3E157-570E-4E1E-BCC2-3EF92D7B8A8B}" name="5-4" dataDxfId="162">
      <calculatedColumnFormula array="1">IF(AND(BB$2&lt;&gt;0,TblTech[[#This Row],[Hour]:[Hour]]&gt;=BB$2),1,0)</calculatedColumnFormula>
    </tableColumn>
    <tableColumn id="65" xr3:uid="{A59D5D3A-678C-49C4-A3B5-D86FF0C14500}" name="5-5" dataDxfId="161">
      <calculatedColumnFormula array="1">IF(AND(BC$2&lt;&gt;0,TblTech[[#This Row],[Hour]:[Hour]]&gt;=BC$2),1,0)</calculatedColumnFormula>
    </tableColumn>
    <tableColumn id="66" xr3:uid="{3EBEC9F5-18F1-461D-AF3F-E66DA870B9ED}" name="5-6" dataDxfId="160">
      <calculatedColumnFormula array="1">IF(AND(BD$2&lt;&gt;0,TblTech[[#This Row],[Hour]:[Hour]]&gt;=BD$2),1,0)</calculatedColumnFormula>
    </tableColumn>
    <tableColumn id="67" xr3:uid="{20985549-198B-4F2A-AF78-070BD8A22298}" name="5-7" dataDxfId="159">
      <calculatedColumnFormula array="1">IF(AND(BE$2&lt;&gt;0,TblTech[[#This Row],[Hour]:[Hour]]&gt;=BE$2),1,0)</calculatedColumnFormula>
    </tableColumn>
    <tableColumn id="68" xr3:uid="{F4DDB15D-3A5D-449E-8491-EA836A4AB090}" name="6-1" dataDxfId="158">
      <calculatedColumnFormula array="1">IF(AND(BF$2&lt;&gt;0,TblTech[[#This Row],[Hour]:[Hour]]&gt;=BF$2),1,0)</calculatedColumnFormula>
    </tableColumn>
    <tableColumn id="69" xr3:uid="{CC7E2300-DCD5-46C6-AD93-8F283F035DAF}" name="6-2" dataDxfId="157">
      <calculatedColumnFormula array="1">IF(AND(BG$2&lt;&gt;0,TblTech[[#This Row],[Hour]:[Hour]]&gt;=BG$2),1,0)</calculatedColumnFormula>
    </tableColumn>
    <tableColumn id="70" xr3:uid="{0DC5B532-84DD-40E3-9A96-3B7ED120C52C}" name="6-3" dataDxfId="156">
      <calculatedColumnFormula array="1">IF(AND(BH$2&lt;&gt;0,TblTech[[#This Row],[Hour]:[Hour]]&gt;=BH$2),1,0)</calculatedColumnFormula>
    </tableColumn>
    <tableColumn id="71" xr3:uid="{DBF8F56A-2B38-47BE-86BB-D34F12B071FA}" name="6-4" dataDxfId="155">
      <calculatedColumnFormula array="1">IF(AND(BI$2&lt;&gt;0,TblTech[[#This Row],[Hour]:[Hour]]&gt;=BI$2),1,0)</calculatedColumnFormula>
    </tableColumn>
    <tableColumn id="72" xr3:uid="{8A63D20A-B735-48C5-9D04-93C0E6922380}" name="6-5" dataDxfId="154">
      <calculatedColumnFormula array="1">IF(AND(BJ$2&lt;&gt;0,TblTech[[#This Row],[Hour]:[Hour]]&gt;=BJ$2),1,0)</calculatedColumnFormula>
    </tableColumn>
    <tableColumn id="73" xr3:uid="{40ABCA6E-09C4-437C-8184-D2AA8A46BADC}" name="6-6" dataDxfId="153">
      <calculatedColumnFormula array="1">IF(AND(BK$2&lt;&gt;0,TblTech[[#This Row],[Hour]:[Hour]]&gt;=BK$2),1,0)</calculatedColumnFormula>
    </tableColumn>
    <tableColumn id="74" xr3:uid="{304D27FC-5054-456F-9FA0-3E170324E735}" name="7-1" dataDxfId="152">
      <calculatedColumnFormula array="1">IF(AND(BL$2&lt;&gt;0,TblTech[[#This Row],[Hour]:[Hour]]&gt;=BL$2),1,0)</calculatedColumnFormula>
    </tableColumn>
    <tableColumn id="75" xr3:uid="{F53A9B26-BE5F-4442-9E77-570EB38C7B2D}" name="7-2" dataDxfId="151">
      <calculatedColumnFormula array="1">IF(AND(BM$2&lt;&gt;0,TblTech[[#This Row],[Hour]:[Hour]]&gt;=BM$2),1,0)</calculatedColumnFormula>
    </tableColumn>
    <tableColumn id="76" xr3:uid="{5A1C0BCB-6C77-48A3-8B36-DA0838BEFD4F}" name="7-3" dataDxfId="150">
      <calculatedColumnFormula array="1">IF(AND(BN$2&lt;&gt;0,TblTech[[#This Row],[Hour]:[Hour]]&gt;=BN$2),1,0)</calculatedColumnFormula>
    </tableColumn>
    <tableColumn id="77" xr3:uid="{96D50B4B-A1C4-4AE1-87EE-409B3128CB4D}" name="7-4" dataDxfId="149">
      <calculatedColumnFormula array="1">IF(AND(BO$2&lt;&gt;0,TblTech[[#This Row],[Hour]:[Hour]]&gt;=BO$2),1,0)</calculatedColumnFormula>
    </tableColumn>
    <tableColumn id="78" xr3:uid="{64A36F5D-65DB-44C8-84EC-A1A1FFF2B3AB}" name="7-5" dataDxfId="148">
      <calculatedColumnFormula array="1">IF(AND(BP$2&lt;&gt;0,TblTech[[#This Row],[Hour]:[Hour]]&gt;=BP$2),1,0)</calculatedColumnFormula>
    </tableColumn>
    <tableColumn id="79" xr3:uid="{73D8C7B5-D3FC-4DB3-BB3C-6A056F59A2A0}" name="8-1" dataDxfId="147">
      <calculatedColumnFormula array="1">IF(AND(BQ$2&lt;&gt;0,TblTech[[#This Row],[Hour]:[Hour]]&gt;=BQ$2),1,0)</calculatedColumnFormula>
    </tableColumn>
    <tableColumn id="80" xr3:uid="{8C8F01C9-13ED-4ABA-B4ED-5D892B20A077}" name="8-2" dataDxfId="146">
      <calculatedColumnFormula array="1">IF(AND(BR$2&lt;&gt;0,TblTech[[#This Row],[Hour]:[Hour]]&gt;=BR$2),1,0)</calculatedColumnFormula>
    </tableColumn>
    <tableColumn id="81" xr3:uid="{954DF58F-2216-42C3-A4F3-4A1B568C8A7F}" name="8-3" dataDxfId="145">
      <calculatedColumnFormula array="1">IF(AND(BS$2&lt;&gt;0,TblTech[[#This Row],[Hour]:[Hour]]&gt;=BS$2),1,0)</calculatedColumnFormula>
    </tableColumn>
    <tableColumn id="82" xr3:uid="{941FAEC7-7D7C-4C75-9F8E-BB3469E2F29F}" name="8-4" dataDxfId="144">
      <calculatedColumnFormula array="1">IF(AND(BT$2&lt;&gt;0,TblTech[[#This Row],[Hour]:[Hour]]&gt;=BT$2),1,0)</calculatedColumnFormula>
    </tableColumn>
    <tableColumn id="83" xr3:uid="{27C9395E-8B81-4CBA-8523-A330679CAE04}" name="9-1" dataDxfId="143">
      <calculatedColumnFormula array="1">IF(AND(BU$2&lt;&gt;0,TblTech[[#This Row],[Hour]:[Hour]]&gt;=BU$2),1,0)</calculatedColumnFormula>
    </tableColumn>
    <tableColumn id="84" xr3:uid="{90667EBE-7747-4976-9947-BD9386AEC90C}" name="9-2" dataDxfId="142">
      <calculatedColumnFormula array="1">IF(AND(BV$2&lt;&gt;0,TblTech[[#This Row],[Hour]:[Hour]]&gt;=BV$2),1,0)</calculatedColumnFormula>
    </tableColumn>
    <tableColumn id="85" xr3:uid="{8AA93356-F62A-4D0B-B2F8-5CADB2567ECF}" name="9-3" dataDxfId="141">
      <calculatedColumnFormula array="1">IF(AND(BW$2&lt;&gt;0,TblTech[[#This Row],[Hour]:[Hour]]&gt;=BW$2),1,0)</calculatedColumnFormula>
    </tableColumn>
    <tableColumn id="86" xr3:uid="{C66AB8D9-7BBC-415A-8732-B5DF0FF2495D}" name="10-1" dataDxfId="140">
      <calculatedColumnFormula array="1">IF(AND(BX$2&lt;&gt;0,TblTech[[#This Row],[Hour]:[Hour]]&gt;=BX$2),1,0)</calculatedColumnFormula>
    </tableColumn>
    <tableColumn id="87" xr3:uid="{13FA2B9A-3F31-4A51-9E2B-753CC6C8AA88}" name="10-2" dataDxfId="139">
      <calculatedColumnFormula array="1">IF(AND(BY$2&lt;&gt;0,TblTech[[#This Row],[Hour]:[Hour]]&gt;=BY$2),1,0)</calculatedColumnFormula>
    </tableColumn>
    <tableColumn id="88" xr3:uid="{D4F65702-E3D7-4783-B103-20F8DD7E4532}" name="11-1" dataDxfId="138">
      <calculatedColumnFormula array="1">IF(AND(BZ$2&lt;&gt;0,TblTech[[#This Row],[Hour]:[Hour]]&gt;=BZ$2),1,0)</calculatedColumnFormula>
    </tableColumn>
    <tableColumn id="89" xr3:uid="{0428044E-0525-4B76-80C9-2D449BDFDA1D}" name="Tech" dataDxfId="137">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5" dataDxfId="123" headerRowBorderDxfId="124" tableBorderDxfId="122">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1">
      <calculatedColumnFormula>TblConstr[[#This Row],[Land]]</calculatedColumnFormula>
    </tableColumn>
    <tableColumn id="2" xr3:uid="{AF6EC8F3-9D95-46FD-B967-FAAF3638AE73}" name="." dataDxfId="120"/>
    <tableColumn id="3" xr3:uid="{FF282ACC-05AC-4142-89E7-09EE52E6FD72}" name="Platinum" dataDxfId="119">
      <calculatedColumnFormula>TblProd[[#This Row],[Platinum]]</calculatedColumnFormula>
    </tableColumn>
    <tableColumn id="4" xr3:uid="{F2178B14-2531-41FE-8DC7-F919571A183A}" name="Lumber" dataDxfId="118">
      <calculatedColumnFormula>TblProd[[#This Row],[Lumber]]</calculatedColumnFormula>
    </tableColumn>
    <tableColumn id="5" xr3:uid="{E437C993-EDEE-4BB3-942B-73180B524B81}" name="Ore" dataDxfId="117">
      <calculatedColumnFormula>TblProd[[#This Row],[Ore]]</calculatedColumnFormula>
    </tableColumn>
    <tableColumn id="6" xr3:uid="{C515063B-AE7C-4BAF-93AB-7443CE68AC54}" name="Gems" dataDxfId="116">
      <calculatedColumnFormula>TblProd[[#This Row],[Gems]]</calculatedColumnFormula>
    </tableColumn>
    <tableColumn id="7" xr3:uid="{935F3905-1AC4-42EE-8A78-476F2F815DFD}" name=".." dataDxfId="115"/>
    <tableColumn id="8" xr3:uid="{A8E01FC0-2F13-4C73-B50D-1FA1083B0FFA}" name="Drafees" dataDxfId="114">
      <calculatedColumnFormula>TblMili[[#This Row],[Draftees]]</calculatedColumnFormula>
    </tableColumn>
    <tableColumn id="9" xr3:uid="{FF70B178-883B-4FA3-B446-2BB364451655}" name="Employed" dataDxfId="113" dataCellStyle="Percent">
      <calculatedColumnFormula>TblPop[[#This Row],[Employment]]</calculatedColumnFormula>
    </tableColumn>
    <tableColumn id="10" xr3:uid="{8AB351E3-8FED-4F8D-951B-AA2D279B0091}" name="Population" dataDxfId="112" dataCellStyle="Percent">
      <calculatedColumnFormula>TblPop[[#This Row],[Total]]/TblPop[[#This Row],[Net max]]</calculatedColumnFormula>
    </tableColumn>
    <tableColumn id="11" xr3:uid="{3D13675F-4203-4882-AC02-B7629E90679D}" name="Hour" dataDxfId="111" dataCellStyle="Percent">
      <calculatedColumnFormula>TblRezone[[#This Row],[Hour]]</calculatedColumnFormula>
    </tableColumn>
    <tableColumn id="12" xr3:uid="{50E3FF0B-DB5B-4715-971A-2D8F804DD3F4}" name="Time" dataDxfId="110" dataCellStyle="Percent">
      <calculatedColumnFormula>TblImps[[#This Row],[Real time]]</calculatedColumnFormula>
    </tableColumn>
    <tableColumn id="13" xr3:uid="{33373A28-E349-4A6C-946C-A172D9829897}" name="Login" dataDxfId="109">
      <calculatedColumnFormula>IF(ISERROR(TblImps[[#This Row],[algorithm]]),0,TblImps[[#This Row],[algorithm]]*1)</calculatedColumnFormula>
    </tableColumn>
    <tableColumn id="14" xr3:uid="{820813AE-0D29-4E3D-B99A-7C5B810B4DA6}" name="Land (3)" dataDxfId="108">
      <calculatedColumnFormula>TblImps[[#This Row],[Land]]</calculatedColumnFormula>
    </tableColumn>
    <tableColumn id="15" xr3:uid="{D8234223-045A-48CE-8E60-8B1B718D1273}" name="Resource" dataDxfId="107"/>
    <tableColumn id="16" xr3:uid="{9AB57DEC-DF25-44AD-97D1-1EF820C63FF2}" name="Amount" dataDxfId="106"/>
    <tableColumn id="17" xr3:uid="{1ECA1762-52EB-4370-862C-42E5B7F71087}" name="Part" dataDxfId="105"/>
    <tableColumn id="18" xr3:uid="{45AD7F60-4F2F-47B2-8046-04C9C5A445EE}" name="Resource 2" dataDxfId="104"/>
    <tableColumn id="19" xr3:uid="{1D8720C7-5940-4FF1-AF3B-FB70E475E9BA}" name="Amount 2" dataDxfId="103"/>
    <tableColumn id="20" xr3:uid="{1AF884E5-0A32-404F-8142-8BDFCA31C5EF}" name="Part 2" dataDxfId="102"/>
    <tableColumn id="21" xr3:uid="{FFCC36EF-B2F1-46BE-827C-260D53435D8F}" name="Resource 3" dataDxfId="101"/>
    <tableColumn id="22" xr3:uid="{AAD98AF1-A248-4594-A8A2-ADB665DABE8F}" name="Amount 3" dataDxfId="100"/>
    <tableColumn id="23" xr3:uid="{5BDF5795-C792-45A5-AC6D-35BE17C06BBC}" name="Part 3" dataDxfId="99"/>
    <tableColumn id="24" xr3:uid="{AB1402EA-4B4E-4F7F-B76D-14CCFC4BF881}" name="…" dataDxfId="98"/>
    <tableColumn id="25" xr3:uid="{C82B3C56-E90F-4536-A41D-465C61544B49}" name="Science" dataDxfId="97">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6">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5">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4">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3">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2">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91"/>
    <tableColumn id="32" xr3:uid="{C7C4061A-6DA9-4687-A437-B442C90A5089}" name="Σ Science" dataDxfId="90">
      <calculatedColumnFormula>(1+Overview!$I$28)*SUM(TblImps[[#This Row],[P2]:[G2]])+OFFSET(TblImps[[#This Row],[Σ Science]],-1,0)</calculatedColumnFormula>
    </tableColumn>
    <tableColumn id="33" xr3:uid="{87424BBC-4CC9-4173-85AC-5C6A6ECFFB84}" name="Σ Keep" dataDxfId="89">
      <calculatedColumnFormula>(1+Overview!$I$28)*SUM(TblImps[[#This Row],[P3]:[G3]])+OFFSET(TblImps[[#This Row],[Σ Keep]],-1,0)</calculatedColumnFormula>
    </tableColumn>
    <tableColumn id="34" xr3:uid="{3DB81FE6-4CBC-4F36-973D-C8F8D1BD09A1}" name="Σ Towers" dataDxfId="88">
      <calculatedColumnFormula>(1+Overview!$I$28 + tech_7_1*TblTech[[#This Row],[7-1]])*SUM(TblImps[[#This Row],[P4]:[G4]])+OFFSET(TblImps[[#This Row],[Σ Towers]],-1,0)</calculatedColumnFormula>
    </tableColumn>
    <tableColumn id="35" xr3:uid="{485A62F9-7EE3-40A9-BDA7-9F3E4E3EC0E1}" name="Σ Forges" dataDxfId="87">
      <calculatedColumnFormula>(1+Overview!$I$28)*SUM(TblImps[[#This Row],[P5]:[G5]])+OFFSET(TblImps[[#This Row],[Σ Forges]],-1,0)</calculatedColumnFormula>
    </tableColumn>
    <tableColumn id="36" xr3:uid="{CEDFD8F7-5AA6-4236-AE0F-14B6F23AE524}" name="Σ Walls" dataDxfId="86">
      <calculatedColumnFormula>(1+Overview!$I$28)*SUM(TblImps[[#This Row],[P6]:[G6]])+OFFSET(TblImps[[#This Row],[Σ Walls]],-1,0)</calculatedColumnFormula>
    </tableColumn>
    <tableColumn id="37" xr3:uid="{1C140D1F-1021-4314-82BD-7176A05B078C}" name="Σ Irrigation" dataDxfId="85">
      <calculatedColumnFormula>(1+Overview!$I$28 + tech_7_1*TblTech[[#This Row],[7-1]])*SUM(TblImps[[#This Row],[P7]:[G7]])+OFFSET(TblImps[[#This Row],[Σ Irrigation]],-1,0)</calculatedColumnFormula>
    </tableColumn>
    <tableColumn id="38" xr3:uid="{808772B5-D74B-4C2E-9369-56BA268972E4}" name="….." dataDxfId="84"/>
    <tableColumn id="39" xr3:uid="{A732ACBF-AEA8-4BC8-8A5C-C0F5525B84B4}" name="P1" dataDxfId="83">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2">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1">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80">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9"/>
    <tableColumn id="44" xr3:uid="{B4E4C91D-5302-4D99-9223-7DC08C0F56E2}" name="P2" dataDxfId="78">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7">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6">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5">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4"/>
    <tableColumn id="49" xr3:uid="{2713D17E-C072-4464-ACFB-1E3B4E4768C8}" name="P3" dataDxfId="73">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2">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1">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70">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9"/>
    <tableColumn id="54" xr3:uid="{60744F8B-EA90-4F3F-908D-1DBF81E4FBBC}" name="P4" dataDxfId="68">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7">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6">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5">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4"/>
    <tableColumn id="59" xr3:uid="{7CAD4FEB-38C3-4ECC-9BB4-566F90D38057}" name="P5" dataDxfId="63">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2">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1">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60">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9"/>
    <tableColumn id="64" xr3:uid="{74BD3EE9-84CB-4606-9851-F46947A6E124}" name="P6" dataDxfId="58">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7">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6">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5">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4"/>
    <tableColumn id="69" xr3:uid="{C84893E8-5E85-463B-9E51-879ADAA64B83}" name="P7" dataDxfId="53">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2">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1">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50">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9"/>
    <tableColumn id="74" xr3:uid="{5E81B67E-95F1-40DA-AE37-BCD09DA9E039}" name="algorithm" dataDxfId="48">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7">
      <calculatedColumnFormula>TblImps[[#This Row],[Login]]</calculatedColumnFormula>
    </tableColumn>
    <tableColumn id="76" xr3:uid="{373275D8-3CBB-4F26-950F-26616E92A24E}" name="….........." dataDxfId="46"/>
    <tableColumn id="77" xr3:uid="{E49F0585-8289-43E9-991C-7685E6B37B5A}" name="Real time" dataDxfId="45">
      <calculatedColumnFormula>OFFSET(TblImps[[#This Row],[Real time]],-1,0)+1/24</calculatedColumnFormula>
    </tableColumn>
    <tableColumn id="78" xr3:uid="{9298E765-5AD3-4871-BC34-97C5588F3D7E}" name="Servertime" dataDxfId="44">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3" dataDxfId="42">
  <autoFilter ref="B2:E23" xr:uid="{D5B14ACA-C49B-4874-B495-C20CC986FF5C}"/>
  <tableColumns count="4">
    <tableColumn id="1" xr3:uid="{FDF1E222-5EC6-4F67-8D2F-219358D518C5}" name="Stats" dataDxfId="41"/>
    <tableColumn id="9" xr3:uid="{92C958C2-2DCD-4CDD-88AA-98294134A916}" name="Abbr" dataDxfId="40"/>
    <tableColumn id="2" xr3:uid="{1E0B1FDB-30FB-48CA-BD3D-8DF2FCB4975C}" name="Number" dataDxfId="39">
      <calculatedColumnFormula>_xlfn.IFNA(INDEX(TblConstr[],MATCH(Log!$I$28,TblConstr[Hour],0),MATCH(TblStats[[#This Row],[Abbr]],TblConstr[#Headers],0)),0)</calculatedColumnFormula>
    </tableColumn>
    <tableColumn id="3" xr3:uid="{ADBF0C8B-030F-4EBA-8274-EAA1CE134BB1}" name="Percent" dataDxfId="38"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B92" totalsRowShown="0" headerRowDxfId="36" dataDxfId="35" tableBorderDxfId="34">
  <autoFilter ref="A4:AB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00000000-0010-0000-0100-000001000000}" name="Race" dataDxfId="33"/>
    <tableColumn id="2" xr3:uid="{00000000-0010-0000-0100-000002000000}" name="Alignment" dataDxfId="32"/>
    <tableColumn id="3" xr3:uid="{00000000-0010-0000-0100-000003000000}" name="Homeland_Type" dataDxfId="31"/>
    <tableColumn id="4" xr3:uid="{00000000-0010-0000-0100-000004000000}" name="Unitname" dataDxfId="30"/>
    <tableColumn id="5" xr3:uid="{00000000-0010-0000-0100-000005000000}" name="OffensePwr" dataDxfId="29"/>
    <tableColumn id="6" xr3:uid="{00000000-0010-0000-0100-000006000000}" name="DefensePwr" dataDxfId="28"/>
    <tableColumn id="7" xr3:uid="{00000000-0010-0000-0100-000007000000}" name="Platcost" dataDxfId="27"/>
    <tableColumn id="8" xr3:uid="{00000000-0010-0000-0100-000008000000}" name="Orecost" dataDxfId="26"/>
    <tableColumn id="9" xr3:uid="{00000000-0010-0000-0100-000009000000}" name="Networth" dataDxfId="25"/>
    <tableColumn id="12" xr3:uid="{00000000-0010-0000-0100-00000C000000}" name="Max population" dataDxfId="24"/>
    <tableColumn id="13" xr3:uid="{00000000-0010-0000-0100-00000D000000}" name="Pop growth" dataDxfId="23"/>
    <tableColumn id="14" xr3:uid="{00000000-0010-0000-0100-00000E000000}" name="Platinum prod" dataDxfId="22"/>
    <tableColumn id="15" xr3:uid="{00000000-0010-0000-0100-00000F000000}" name="Food prod" dataDxfId="21"/>
    <tableColumn id="16" xr3:uid="{00000000-0010-0000-0100-000010000000}" name="Lumber prod" dataDxfId="20"/>
    <tableColumn id="17" xr3:uid="{00000000-0010-0000-0100-000011000000}" name="Mana prod" dataDxfId="19"/>
    <tableColumn id="18" xr3:uid="{00000000-0010-0000-0100-000012000000}" name="Ore prod" dataDxfId="18"/>
    <tableColumn id="19" xr3:uid="{00000000-0010-0000-0100-000013000000}" name="Gem prod" dataDxfId="17"/>
    <tableColumn id="20" xr3:uid="{00000000-0010-0000-0100-000014000000}" name="Food cons" dataDxfId="16"/>
    <tableColumn id="21" xr3:uid="{00000000-0010-0000-0100-000015000000}" name="Defense" dataDxfId="15"/>
    <tableColumn id="22" xr3:uid="{00000000-0010-0000-0100-000016000000}" name="Offense" dataDxfId="14"/>
    <tableColumn id="23" xr3:uid="{00000000-0010-0000-0100-000017000000}" name="Spy strength" dataDxfId="13"/>
    <tableColumn id="24" xr3:uid="{00000000-0010-0000-0100-000018000000}" name="Wizard strength" dataDxfId="12"/>
    <tableColumn id="25" xr3:uid="{00000000-0010-0000-0100-000019000000}" name="Invest bonus" dataDxfId="11"/>
    <tableColumn id="26" xr3:uid="{00000000-0010-0000-0100-00001A000000}" name="Rezone Cost" dataDxfId="10" dataCellStyle="Percent"/>
    <tableColumn id="27" xr3:uid="{00000000-0010-0000-0100-00001B000000}" name="Construction Cost" dataDxfId="9"/>
    <tableColumn id="28" xr3:uid="{00000000-0010-0000-0100-00001C000000}" name="Research" dataDxfId="8"/>
    <tableColumn id="10" xr3:uid="{93A4F69F-9C60-42FB-B0E6-B78AAB579797}" name="Explore Cost" dataDxfId="7"/>
    <tableColumn id="11" xr3:uid="{17C6D8C4-284F-4BE0-BE37-695B1AFC4E66}" name="Lumber Rot" dataDxfId="6"/>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5" dataDxfId="4">
  <autoFilter ref="D94:D100" xr:uid="{00000000-0009-0000-0100-000002000000}"/>
  <tableColumns count="1">
    <tableColumn id="1" xr3:uid="{00000000-0010-0000-0200-000001000000}" name="waves:" dataDxfId="3"/>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Q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56" t="s">
        <v>452</v>
      </c>
      <c r="B1" s="456"/>
      <c r="C1" s="456"/>
      <c r="D1" s="456"/>
      <c r="E1" s="456"/>
      <c r="F1" s="456"/>
      <c r="G1" s="456"/>
      <c r="H1" s="456"/>
      <c r="I1" s="456"/>
      <c r="J1" s="456"/>
      <c r="K1" s="456"/>
      <c r="L1" s="457"/>
      <c r="M1" s="463" t="s">
        <v>1049</v>
      </c>
      <c r="N1" s="464"/>
      <c r="O1" s="465"/>
    </row>
    <row r="2" spans="1:15" s="44" customFormat="1" ht="12.75" customHeight="1" x14ac:dyDescent="0.2">
      <c r="A2" s="490" t="s">
        <v>1089</v>
      </c>
      <c r="B2" s="491"/>
      <c r="C2" s="491"/>
      <c r="D2" s="491"/>
      <c r="E2" s="491"/>
      <c r="F2" s="491"/>
      <c r="G2" s="491"/>
      <c r="H2" s="491"/>
      <c r="I2" s="491"/>
      <c r="J2" s="491"/>
      <c r="K2" s="491"/>
      <c r="L2" s="492"/>
      <c r="M2" s="478" t="s">
        <v>1122</v>
      </c>
      <c r="N2" s="479"/>
      <c r="O2" s="480"/>
    </row>
    <row r="3" spans="1:15" s="44" customFormat="1" x14ac:dyDescent="0.2">
      <c r="A3" s="490"/>
      <c r="B3" s="491"/>
      <c r="C3" s="491"/>
      <c r="D3" s="491"/>
      <c r="E3" s="491"/>
      <c r="F3" s="491"/>
      <c r="G3" s="491"/>
      <c r="H3" s="491"/>
      <c r="I3" s="491"/>
      <c r="J3" s="491"/>
      <c r="K3" s="491"/>
      <c r="L3" s="492"/>
      <c r="M3" s="478"/>
      <c r="N3" s="479"/>
      <c r="O3" s="480"/>
    </row>
    <row r="4" spans="1:15" s="44" customFormat="1" x14ac:dyDescent="0.2">
      <c r="A4" s="490"/>
      <c r="B4" s="491"/>
      <c r="C4" s="491"/>
      <c r="D4" s="491"/>
      <c r="E4" s="491"/>
      <c r="F4" s="491"/>
      <c r="G4" s="491"/>
      <c r="H4" s="491"/>
      <c r="I4" s="491"/>
      <c r="J4" s="491"/>
      <c r="K4" s="491"/>
      <c r="L4" s="492"/>
      <c r="M4" s="478"/>
      <c r="N4" s="479"/>
      <c r="O4" s="480"/>
    </row>
    <row r="5" spans="1:15" s="44" customFormat="1" x14ac:dyDescent="0.2">
      <c r="A5" s="490"/>
      <c r="B5" s="491"/>
      <c r="C5" s="491"/>
      <c r="D5" s="491"/>
      <c r="E5" s="491"/>
      <c r="F5" s="491"/>
      <c r="G5" s="491"/>
      <c r="H5" s="491"/>
      <c r="I5" s="491"/>
      <c r="J5" s="491"/>
      <c r="K5" s="491"/>
      <c r="L5" s="492"/>
      <c r="M5" s="478"/>
      <c r="N5" s="479"/>
      <c r="O5" s="480"/>
    </row>
    <row r="6" spans="1:15" s="44" customFormat="1" x14ac:dyDescent="0.2">
      <c r="A6" s="490"/>
      <c r="B6" s="491"/>
      <c r="C6" s="491"/>
      <c r="D6" s="491"/>
      <c r="E6" s="491"/>
      <c r="F6" s="491"/>
      <c r="G6" s="491"/>
      <c r="H6" s="491"/>
      <c r="I6" s="491"/>
      <c r="J6" s="491"/>
      <c r="K6" s="491"/>
      <c r="L6" s="492"/>
      <c r="M6" s="478"/>
      <c r="N6" s="479"/>
      <c r="O6" s="480"/>
    </row>
    <row r="7" spans="1:15" s="44" customFormat="1" ht="13.5" thickBot="1" x14ac:dyDescent="0.25">
      <c r="A7" s="493"/>
      <c r="B7" s="494"/>
      <c r="C7" s="494"/>
      <c r="D7" s="494"/>
      <c r="E7" s="494"/>
      <c r="F7" s="494"/>
      <c r="G7" s="494"/>
      <c r="H7" s="494"/>
      <c r="I7" s="494"/>
      <c r="J7" s="494"/>
      <c r="K7" s="494"/>
      <c r="L7" s="495"/>
      <c r="M7" s="478"/>
      <c r="N7" s="479"/>
      <c r="O7" s="480"/>
    </row>
    <row r="8" spans="1:15" s="44" customFormat="1" ht="15.75" x14ac:dyDescent="0.2">
      <c r="A8" s="458" t="s">
        <v>451</v>
      </c>
      <c r="B8" s="459"/>
      <c r="C8" s="459"/>
      <c r="D8" s="459"/>
      <c r="E8" s="459"/>
      <c r="F8" s="459"/>
      <c r="G8" s="459"/>
      <c r="H8" s="459"/>
      <c r="I8" s="460"/>
      <c r="J8" s="466" t="s">
        <v>1123</v>
      </c>
      <c r="K8" s="467"/>
      <c r="L8" s="468"/>
      <c r="M8" s="481"/>
      <c r="N8" s="482"/>
      <c r="O8" s="483"/>
    </row>
    <row r="9" spans="1:15" s="44" customFormat="1" ht="12.75" customHeight="1" x14ac:dyDescent="0.2">
      <c r="A9" s="461" t="s">
        <v>1048</v>
      </c>
      <c r="B9" s="462"/>
      <c r="C9" s="462"/>
      <c r="D9" s="462"/>
      <c r="E9" s="462"/>
      <c r="F9" s="462"/>
      <c r="G9" s="462"/>
      <c r="H9" s="462"/>
      <c r="I9" s="462"/>
      <c r="J9" s="469"/>
      <c r="K9" s="470"/>
      <c r="L9" s="471"/>
      <c r="M9" s="481"/>
      <c r="N9" s="482"/>
      <c r="O9" s="483"/>
    </row>
    <row r="10" spans="1:15" s="44" customFormat="1" ht="12.75" customHeight="1" x14ac:dyDescent="0.2">
      <c r="A10" s="461"/>
      <c r="B10" s="462"/>
      <c r="C10" s="462"/>
      <c r="D10" s="462"/>
      <c r="E10" s="462"/>
      <c r="F10" s="462"/>
      <c r="G10" s="462"/>
      <c r="H10" s="462"/>
      <c r="I10" s="462"/>
      <c r="J10" s="469"/>
      <c r="K10" s="470"/>
      <c r="L10" s="471"/>
      <c r="M10" s="481"/>
      <c r="N10" s="482"/>
      <c r="O10" s="483"/>
    </row>
    <row r="11" spans="1:15" s="44" customFormat="1" ht="12.75" customHeight="1" x14ac:dyDescent="0.2">
      <c r="A11" s="461"/>
      <c r="B11" s="462"/>
      <c r="C11" s="462"/>
      <c r="D11" s="462"/>
      <c r="E11" s="462"/>
      <c r="F11" s="462"/>
      <c r="G11" s="462"/>
      <c r="H11" s="462"/>
      <c r="I11" s="462"/>
      <c r="J11" s="469"/>
      <c r="K11" s="470"/>
      <c r="L11" s="471"/>
      <c r="M11" s="481"/>
      <c r="N11" s="482"/>
      <c r="O11" s="483"/>
    </row>
    <row r="12" spans="1:15" s="44" customFormat="1" ht="28.5" customHeight="1" thickBot="1" x14ac:dyDescent="0.25">
      <c r="A12" s="461"/>
      <c r="B12" s="462"/>
      <c r="C12" s="462"/>
      <c r="D12" s="462"/>
      <c r="E12" s="462"/>
      <c r="F12" s="462"/>
      <c r="G12" s="462"/>
      <c r="H12" s="462"/>
      <c r="I12" s="462"/>
      <c r="J12" s="472"/>
      <c r="K12" s="473"/>
      <c r="L12" s="474"/>
      <c r="M12" s="484"/>
      <c r="N12" s="485"/>
      <c r="O12" s="486"/>
    </row>
    <row r="13" spans="1:15" s="44" customFormat="1" ht="25.5" customHeight="1" thickBot="1" x14ac:dyDescent="0.25">
      <c r="A13" s="487" t="s">
        <v>258</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3" t="s">
        <v>89</v>
      </c>
      <c r="C14" s="46"/>
      <c r="D14" s="47" t="s">
        <v>324</v>
      </c>
      <c r="E14" s="47" t="s">
        <v>775</v>
      </c>
      <c r="F14" s="44"/>
      <c r="G14" s="44"/>
      <c r="H14" s="47" t="s">
        <v>488</v>
      </c>
      <c r="I14" s="48" t="s">
        <v>208</v>
      </c>
      <c r="J14" s="49"/>
      <c r="K14" s="50"/>
      <c r="L14" s="44"/>
      <c r="M14" s="44"/>
      <c r="N14" s="44"/>
      <c r="O14" s="51"/>
    </row>
    <row r="15" spans="1:15" s="44" customFormat="1" ht="12.75" customHeight="1" x14ac:dyDescent="0.2">
      <c r="A15" s="45" t="s">
        <v>449</v>
      </c>
      <c r="B15" s="134">
        <v>45281</v>
      </c>
      <c r="D15" s="45" t="s">
        <v>325</v>
      </c>
      <c r="E15" s="53">
        <f>B15+(1+B16-1)/24+B18-0/24</f>
        <v>45281</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528</v>
      </c>
      <c r="D16" s="45" t="s">
        <v>318</v>
      </c>
      <c r="E16" s="53">
        <f ca="1">NOW()</f>
        <v>45279.03370162037</v>
      </c>
      <c r="H16" s="45" t="s">
        <v>105</v>
      </c>
      <c r="I16" s="54">
        <f>INDEX(TblRaces[[Max population]:[Explore Cost]],MATCH(race,TblRaces[Race],0),MATCH(Table4[[#This Row],[Race Bonuses]],TblRaces[[#Headers],[Max population]:[Explore Cost]],0))</f>
        <v>0</v>
      </c>
      <c r="K16" s="454" t="s">
        <v>453</v>
      </c>
      <c r="L16" s="453"/>
      <c r="M16" s="453"/>
      <c r="N16" s="453"/>
      <c r="O16" s="51"/>
    </row>
    <row r="17" spans="1:15" s="44" customFormat="1" ht="12.75" customHeight="1" thickBot="1" x14ac:dyDescent="0.25">
      <c r="A17" s="45" t="s">
        <v>322</v>
      </c>
      <c r="B17" s="55">
        <f ca="1">TODAY()</f>
        <v>45279</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53"/>
      <c r="L17" s="453"/>
      <c r="M17" s="453"/>
      <c r="N17" s="453"/>
      <c r="O17" s="51"/>
    </row>
    <row r="18" spans="1:15" s="44" customFormat="1" ht="12.75" customHeight="1" thickBot="1" x14ac:dyDescent="0.25">
      <c r="A18" s="59" t="s">
        <v>502</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53"/>
      <c r="L18" s="453"/>
      <c r="M18" s="453"/>
      <c r="N18" s="453"/>
      <c r="O18" s="51"/>
    </row>
    <row r="19" spans="1:15" s="44" customFormat="1" x14ac:dyDescent="0.2">
      <c r="H19" s="45" t="s">
        <v>108</v>
      </c>
      <c r="I19" s="54">
        <f>INDEX(TblRaces[[Max population]:[Explore Cost]],MATCH(race,TblRaces[Race],0),MATCH(Table4[[#This Row],[Race Bonuses]],TblRaces[[#Headers],[Max population]:[Explore Cost]],0))</f>
        <v>0</v>
      </c>
      <c r="J19" s="49"/>
      <c r="K19" s="453"/>
      <c r="L19" s="453"/>
      <c r="M19" s="453"/>
      <c r="N19" s="453"/>
      <c r="O19" s="60"/>
    </row>
    <row r="20" spans="1:15" s="44" customFormat="1" x14ac:dyDescent="0.2">
      <c r="H20" s="45" t="s">
        <v>109</v>
      </c>
      <c r="I20" s="54">
        <f>INDEX(TblRaces[[Max population]:[Explore Cost]],MATCH(race,TblRaces[Race],0),MATCH(Table4[[#This Row],[Race Bonuses]],TblRaces[[#Headers],[Max population]:[Explore Cost]],0))</f>
        <v>0</v>
      </c>
      <c r="J20" s="49"/>
      <c r="K20" s="453"/>
      <c r="L20" s="453"/>
      <c r="M20" s="453"/>
      <c r="N20" s="453"/>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53"/>
      <c r="L21" s="453"/>
      <c r="M21" s="453"/>
      <c r="N21" s="453"/>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54"/>
      <c r="L23" s="454"/>
      <c r="M23" s="454"/>
      <c r="N23" s="45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54"/>
      <c r="L24" s="454"/>
      <c r="M24" s="454"/>
      <c r="N24" s="45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54"/>
      <c r="L25" s="454"/>
      <c r="M25" s="454"/>
      <c r="N25" s="45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54"/>
      <c r="L26" s="454"/>
      <c r="M26" s="454"/>
      <c r="N26" s="454"/>
      <c r="O26" s="60"/>
    </row>
    <row r="27" spans="1:15" s="44" customFormat="1" x14ac:dyDescent="0.2">
      <c r="A27" s="442" t="s">
        <v>1099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54"/>
      <c r="L27" s="454"/>
      <c r="M27" s="454"/>
      <c r="N27" s="45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489</v>
      </c>
      <c r="I29" s="54">
        <f>INDEX(TblRaces[[Max population]:[Explore Cost]],MATCH(race,TblRaces[Race],0),MATCH(Table4[[#This Row],[Race Bonuses]],TblRaces[[#Headers],[Max population]:[Explore Cost]],0))</f>
        <v>0</v>
      </c>
      <c r="O29" s="60"/>
    </row>
    <row r="30" spans="1:15" s="44" customFormat="1" x14ac:dyDescent="0.2">
      <c r="A30" s="66" t="s">
        <v>1084</v>
      </c>
      <c r="D30" s="67"/>
      <c r="E30" s="68"/>
      <c r="G30" s="51"/>
      <c r="H30" s="45" t="s">
        <v>490</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527</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1076</v>
      </c>
      <c r="I32" s="438">
        <f>INDEX(TblRaces[[Max population]:[Explore Cost]],MATCH(race,TblRaces[Race],0),MATCH(Table4[[#This Row],[Race Bonuses]],TblRaces[[#Headers],[Max population]:[Explore Cost]],0))</f>
        <v>0</v>
      </c>
      <c r="J32" s="70"/>
      <c r="O32" s="75"/>
    </row>
    <row r="33" spans="1:17" s="76" customFormat="1" ht="29.25" customHeight="1" x14ac:dyDescent="0.2">
      <c r="A33" s="475" t="s">
        <v>378</v>
      </c>
      <c r="B33" s="453"/>
      <c r="C33" s="453"/>
      <c r="D33" s="453"/>
      <c r="E33" s="453"/>
      <c r="F33" s="453"/>
      <c r="G33" s="453"/>
      <c r="H33" s="453"/>
      <c r="I33" s="453"/>
      <c r="J33" s="476"/>
      <c r="K33" s="477"/>
      <c r="L33" s="477"/>
      <c r="M33" s="477"/>
      <c r="N33" s="477"/>
      <c r="O33" s="477"/>
    </row>
    <row r="34" spans="1:17" x14ac:dyDescent="0.2">
      <c r="A34" s="5" t="s">
        <v>22</v>
      </c>
      <c r="B34" s="45" t="s">
        <v>356</v>
      </c>
      <c r="C34" s="77" t="s">
        <v>31</v>
      </c>
      <c r="D34" s="78" t="s">
        <v>208</v>
      </c>
      <c r="E34" s="79" t="s">
        <v>1020</v>
      </c>
      <c r="F34" s="77" t="s">
        <v>32</v>
      </c>
      <c r="G34" s="78" t="s">
        <v>1018</v>
      </c>
      <c r="H34" s="78" t="s">
        <v>1019</v>
      </c>
      <c r="I34" s="80" t="s">
        <v>775</v>
      </c>
      <c r="J34" s="44"/>
      <c r="K34" s="44"/>
      <c r="L34" s="44"/>
      <c r="M34" s="44"/>
      <c r="N34" s="44"/>
      <c r="O34" s="81"/>
    </row>
    <row r="35" spans="1:17"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c r="Q35" s="45" t="s">
        <v>1129</v>
      </c>
    </row>
    <row r="36" spans="1:17"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51" t="s">
        <v>430</v>
      </c>
      <c r="L36" s="452"/>
      <c r="M36" s="452"/>
      <c r="N36" s="452"/>
      <c r="O36" s="51"/>
      <c r="Q36" s="45" t="s">
        <v>1130</v>
      </c>
    </row>
    <row r="37" spans="1:17" x14ac:dyDescent="0.2">
      <c r="A37" s="93" t="str">
        <f>spec_dp_name</f>
        <v>Archer</v>
      </c>
      <c r="B37" s="94">
        <f ca="1">Military!F$76</f>
        <v>0</v>
      </c>
      <c r="C37" s="95">
        <f ca="1">B37*B23</f>
        <v>0</v>
      </c>
      <c r="D37" s="96"/>
      <c r="E37" s="94">
        <f ca="1">C37*(1+$D$36)</f>
        <v>0</v>
      </c>
      <c r="F37" s="97">
        <f ca="1">B37*C23</f>
        <v>0</v>
      </c>
      <c r="G37" s="96"/>
      <c r="H37" s="97">
        <f ca="1">F37*(1+$G$36)</f>
        <v>0</v>
      </c>
      <c r="I37" s="92" t="str">
        <f>A37</f>
        <v>Archer</v>
      </c>
      <c r="J37" s="44"/>
      <c r="K37" s="452"/>
      <c r="L37" s="452"/>
      <c r="M37" s="452"/>
      <c r="N37" s="452"/>
      <c r="O37" s="51"/>
      <c r="Q37" s="45" t="s">
        <v>1131</v>
      </c>
    </row>
    <row r="38" spans="1:17"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52"/>
      <c r="L38" s="452"/>
      <c r="M38" s="452"/>
      <c r="N38" s="452"/>
      <c r="O38" s="51"/>
      <c r="Q38" s="45" t="s">
        <v>1142</v>
      </c>
    </row>
    <row r="39" spans="1:17"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54" t="s">
        <v>450</v>
      </c>
      <c r="L39" s="455"/>
      <c r="M39" s="455"/>
      <c r="N39" s="455"/>
      <c r="O39" s="51"/>
    </row>
    <row r="40" spans="1:17" ht="13.5" thickTop="1" x14ac:dyDescent="0.2">
      <c r="A40" s="101"/>
      <c r="B40" s="88"/>
      <c r="C40" s="102">
        <f ca="1">SUM(C36:C39)</f>
        <v>0</v>
      </c>
      <c r="E40" s="103">
        <f ca="1">SUM(E36:E39)</f>
        <v>0</v>
      </c>
      <c r="F40" s="35">
        <f ca="1">SUM(F36:F39)</f>
        <v>0</v>
      </c>
      <c r="H40" s="35">
        <f ca="1">SUM(H36:H39)</f>
        <v>0</v>
      </c>
      <c r="I40" s="84"/>
      <c r="J40" s="44"/>
      <c r="K40" s="455"/>
      <c r="L40" s="455"/>
      <c r="M40" s="455"/>
      <c r="N40" s="455"/>
      <c r="O40" s="51"/>
    </row>
    <row r="41" spans="1:17" x14ac:dyDescent="0.2">
      <c r="A41" s="104" t="s">
        <v>24</v>
      </c>
      <c r="B41" s="97">
        <f ca="1">F41</f>
        <v>776</v>
      </c>
      <c r="C41" s="104"/>
      <c r="E41" s="105"/>
      <c r="F41" s="97">
        <f ca="1">Military!AA76</f>
        <v>776</v>
      </c>
      <c r="H41" s="97">
        <f ca="1">F41*(1+$G$36)</f>
        <v>776</v>
      </c>
      <c r="I41" s="92" t="s">
        <v>421</v>
      </c>
      <c r="J41" s="44"/>
      <c r="K41" s="451" t="s">
        <v>448</v>
      </c>
      <c r="L41" s="452"/>
      <c r="M41" s="452"/>
      <c r="N41" s="452"/>
      <c r="O41" s="51"/>
    </row>
    <row r="42" spans="1:17" ht="13.5" thickBot="1" x14ac:dyDescent="0.25">
      <c r="A42" s="104" t="s">
        <v>420</v>
      </c>
      <c r="B42" s="45">
        <f ca="1">E54</f>
        <v>0</v>
      </c>
      <c r="C42" s="104"/>
      <c r="E42" s="105"/>
      <c r="F42" s="106">
        <f ca="1">MIN(Population!C76/2,Constants!B14*20*Construction!BE76)</f>
        <v>0</v>
      </c>
      <c r="H42" s="107">
        <f ca="1">F42*(1+$G$36)</f>
        <v>0</v>
      </c>
      <c r="I42" s="92" t="s">
        <v>379</v>
      </c>
      <c r="J42" s="44"/>
      <c r="K42" s="452"/>
      <c r="L42" s="452"/>
      <c r="M42" s="452"/>
      <c r="N42" s="452"/>
      <c r="O42" s="51"/>
    </row>
    <row r="43" spans="1:17" ht="13.5" thickTop="1" x14ac:dyDescent="0.2">
      <c r="C43" s="104"/>
      <c r="E43" s="105"/>
      <c r="F43" s="35">
        <f ca="1">F41+F40+F42</f>
        <v>776</v>
      </c>
      <c r="H43" s="103">
        <f ca="1">H41+H40+H42</f>
        <v>776</v>
      </c>
      <c r="I43" s="92"/>
      <c r="J43" s="44"/>
      <c r="K43" s="453"/>
      <c r="L43" s="453"/>
      <c r="M43" s="453"/>
      <c r="N43" s="453"/>
      <c r="O43" s="51"/>
    </row>
    <row r="44" spans="1:17" x14ac:dyDescent="0.2">
      <c r="A44" s="44"/>
      <c r="B44" s="44"/>
      <c r="C44" s="44"/>
      <c r="D44" s="450"/>
      <c r="E44" s="450"/>
      <c r="F44" s="450"/>
      <c r="G44" s="450"/>
      <c r="H44" s="450"/>
      <c r="I44" s="44"/>
      <c r="J44" s="44"/>
      <c r="K44" s="44"/>
      <c r="L44" s="44"/>
      <c r="M44" s="44"/>
      <c r="N44" s="44"/>
      <c r="O44" s="51"/>
    </row>
    <row r="45" spans="1:17" x14ac:dyDescent="0.2">
      <c r="A45" s="108" t="str">
        <f>A26</f>
        <v>Spy</v>
      </c>
      <c r="B45" s="429">
        <f ca="1">Military!I76</f>
        <v>25</v>
      </c>
      <c r="D45" s="44"/>
      <c r="E45" s="44"/>
      <c r="F45" s="44"/>
      <c r="G45" s="44"/>
      <c r="I45" s="44"/>
      <c r="J45" s="44"/>
      <c r="K45" s="44"/>
      <c r="L45" s="44"/>
      <c r="M45" s="44"/>
      <c r="N45" s="44"/>
      <c r="O45" s="51"/>
    </row>
    <row r="46" spans="1:17" x14ac:dyDescent="0.2">
      <c r="A46" s="446" t="s">
        <v>1099</v>
      </c>
      <c r="B46" s="443">
        <f ca="1">Military!J76</f>
        <v>0</v>
      </c>
      <c r="C46" s="44"/>
      <c r="D46" s="5" t="s">
        <v>254</v>
      </c>
      <c r="E46" s="57" t="s">
        <v>356</v>
      </c>
      <c r="F46" s="45" t="s">
        <v>1021</v>
      </c>
      <c r="G46" s="44"/>
      <c r="H46" s="50" t="s">
        <v>256</v>
      </c>
      <c r="I46" s="44"/>
      <c r="J46" s="44"/>
      <c r="K46" s="44"/>
      <c r="L46" s="44"/>
      <c r="M46" s="44"/>
      <c r="N46" s="44"/>
      <c r="O46" s="51"/>
    </row>
    <row r="47" spans="1:17"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7"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0</v>
      </c>
      <c r="J49" s="114">
        <f ca="1">H40/E47</f>
        <v>0</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1</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776</v>
      </c>
      <c r="C55" s="44"/>
      <c r="D55" s="111" t="str">
        <f>Construction!BF3</f>
        <v>Tot OM</v>
      </c>
      <c r="E55" s="45">
        <f ca="1">Construction!BF76</f>
        <v>0</v>
      </c>
      <c r="F55" s="113">
        <f t="shared" ca="1" si="0"/>
        <v>0</v>
      </c>
      <c r="G55" s="44"/>
      <c r="H55" s="119">
        <v>61</v>
      </c>
      <c r="I55" s="62">
        <f ca="1">Production!H64</f>
        <v>450038</v>
      </c>
      <c r="J55" s="62">
        <f ca="1">Production!H64+SUM(Military!AR4:AR64)</f>
        <v>450038</v>
      </c>
      <c r="K55" s="44"/>
      <c r="L55" s="44"/>
      <c r="M55" s="44"/>
      <c r="N55" s="44"/>
      <c r="O55" s="51"/>
    </row>
    <row r="56" spans="1:15" x14ac:dyDescent="0.2">
      <c r="A56" s="117" t="s">
        <v>232</v>
      </c>
      <c r="B56" s="427">
        <f ca="1">Production!G76</f>
        <v>5700</v>
      </c>
      <c r="C56" s="44"/>
      <c r="D56" s="111" t="str">
        <f>Construction!BG3</f>
        <v>Tot GN</v>
      </c>
      <c r="E56" s="45">
        <f ca="1">Construction!BG76</f>
        <v>0</v>
      </c>
      <c r="F56" s="113">
        <f t="shared" ca="1" si="0"/>
        <v>0</v>
      </c>
      <c r="G56" s="44"/>
      <c r="H56" s="119">
        <v>64</v>
      </c>
      <c r="I56" s="62">
        <f ca="1">Production!H67</f>
        <v>466496</v>
      </c>
      <c r="J56" s="62">
        <f ca="1">Production!H67+SUM(Military!AR5:AR67)</f>
        <v>466496</v>
      </c>
      <c r="K56" s="120"/>
      <c r="L56" s="44"/>
      <c r="M56" s="44"/>
      <c r="N56" s="44"/>
      <c r="O56" s="51"/>
    </row>
    <row r="57" spans="1:15" x14ac:dyDescent="0.2">
      <c r="A57" s="118" t="s">
        <v>268</v>
      </c>
      <c r="B57" s="428">
        <f ca="1">H40</f>
        <v>0</v>
      </c>
      <c r="C57" s="44"/>
      <c r="D57" s="111" t="str">
        <f>Construction!BJ3</f>
        <v>Tot Bar</v>
      </c>
      <c r="E57" s="45">
        <f ca="1">Construction!BJ76</f>
        <v>0</v>
      </c>
      <c r="F57" s="113">
        <f t="shared" ca="1" si="0"/>
        <v>0</v>
      </c>
      <c r="G57" s="44"/>
      <c r="H57" s="119" t="s">
        <v>231</v>
      </c>
      <c r="I57" s="62">
        <f ca="1">Production!H76</f>
        <v>515870</v>
      </c>
      <c r="J57" s="62">
        <f ca="1">Production!H76+SUM(Military!AR4:AR76)</f>
        <v>515870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VLOOKUP($B$14,Races!$A$4:$B$117,2,FALSE)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VLOOKUP($B$14,Races!$A$4:$C$117,3,FALSE)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48" t="s">
        <v>289</v>
      </c>
      <c r="B73" s="449"/>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501</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44" priority="3" stopIfTrue="1">
      <formula>$D$44&lt;&gt;""</formula>
    </cfRule>
  </conditionalFormatting>
  <conditionalFormatting sqref="E18">
    <cfRule type="cellIs" dxfId="943" priority="4" stopIfTrue="1" operator="equal">
      <formula>"""Yes"""</formula>
    </cfRule>
    <cfRule type="expression" dxfId="942" priority="5" stopIfTrue="1">
      <formula>ISERROR(E18)</formula>
    </cfRule>
  </conditionalFormatting>
  <conditionalFormatting sqref="E17">
    <cfRule type="cellIs" dxfId="941" priority="6" stopIfTrue="1" operator="lessThan">
      <formula>1</formula>
    </cfRule>
  </conditionalFormatting>
  <conditionalFormatting sqref="A30">
    <cfRule type="expression" dxfId="940" priority="1">
      <formula>$B$14&lt;&gt;"Dark Elf"</formula>
    </cfRule>
    <cfRule type="expression" dxfId="939"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775</v>
      </c>
      <c r="L3" s="138" t="s">
        <v>1022</v>
      </c>
      <c r="M3" s="138" t="s">
        <v>771</v>
      </c>
      <c r="N3" s="138" t="s">
        <v>772</v>
      </c>
      <c r="O3" s="138" t="s">
        <v>773</v>
      </c>
      <c r="P3" s="138" t="s">
        <v>774</v>
      </c>
      <c r="Q3" s="138" t="s">
        <v>25</v>
      </c>
      <c r="R3" s="138" t="s">
        <v>26</v>
      </c>
      <c r="S3" s="138" t="s">
        <v>184</v>
      </c>
      <c r="T3" s="138" t="s">
        <v>776</v>
      </c>
      <c r="U3" s="138" t="s">
        <v>228</v>
      </c>
      <c r="V3" s="138" t="s">
        <v>176</v>
      </c>
      <c r="W3" s="138" t="s">
        <v>175</v>
      </c>
      <c r="X3" s="138" t="s">
        <v>234</v>
      </c>
      <c r="Y3" s="138" t="s">
        <v>227</v>
      </c>
      <c r="Z3" s="138" t="s">
        <v>1039</v>
      </c>
      <c r="AA3" s="138" t="s">
        <v>778</v>
      </c>
      <c r="AB3" s="138" t="s">
        <v>169</v>
      </c>
      <c r="AC3" s="138" t="s">
        <v>173</v>
      </c>
    </row>
    <row r="4" spans="1:30" x14ac:dyDescent="0.2">
      <c r="A4" s="140">
        <f>TblRezone[[#This Row],[Hour]]</f>
        <v>1</v>
      </c>
      <c r="B4" s="141">
        <f>TblImps[[#This Row],[Time]]</f>
        <v>45281</v>
      </c>
      <c r="C4" s="404">
        <f>start_peasants+TblMili[[#This Row],[Release Draft]]+MIN(13,days_late)*days_late_peasants</f>
        <v>1300</v>
      </c>
      <c r="D4" s="97">
        <f ca="1">TblMili[[#This Row],[Military]]</f>
        <v>300</v>
      </c>
      <c r="E4" s="97">
        <f ca="1">TblMili[[#This Row],[Draftees]]</f>
        <v>250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250</v>
      </c>
      <c r="M4" s="62">
        <f>TblMili[[#This Row],[Unit 1]]</f>
        <v>0</v>
      </c>
      <c r="N4" s="62">
        <f>TblMili[[#This Row],[Unit 2]]</f>
        <v>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45281.041666666664</v>
      </c>
      <c r="C5" s="97">
        <f ca="1">OFFSET(TblPop[[#This Row],[Peasants]],-1,0)+OFFSET(TblPop[[#This Row],[Net Peasant]],-1,0)+TblMili[[#This Row],[Release Draft]]</f>
        <v>1326</v>
      </c>
      <c r="D5" s="97">
        <f ca="1">TblMili[[#This Row],[Military]]</f>
        <v>313</v>
      </c>
      <c r="E5" s="97">
        <f ca="1">TblMili[[#This Row],[Draftees]]</f>
        <v>263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263</v>
      </c>
      <c r="M5" s="62">
        <f ca="1">TblMili[[#This Row],[Unit 1]]</f>
        <v>0</v>
      </c>
      <c r="N5" s="62">
        <f ca="1">TblMili[[#This Row],[Unit 2]]</f>
        <v>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45281.083333333328</v>
      </c>
      <c r="C6" s="97">
        <f ca="1">OFFSET(TblPop[[#This Row],[Peasants]],-1,0)+OFFSET(TblPop[[#This Row],[Net Peasant]],-1,0)+TblMili[[#This Row],[Release Draft]]</f>
        <v>1352</v>
      </c>
      <c r="D6" s="97">
        <f ca="1">TblMili[[#This Row],[Military]]</f>
        <v>326</v>
      </c>
      <c r="E6" s="97">
        <f ca="1">TblMili[[#This Row],[Draftees]]</f>
        <v>276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276</v>
      </c>
      <c r="M6" s="62">
        <f ca="1">TblMili[[#This Row],[Unit 1]]</f>
        <v>0</v>
      </c>
      <c r="N6" s="62">
        <f ca="1">TblMili[[#This Row],[Unit 2]]</f>
        <v>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45281.124999999993</v>
      </c>
      <c r="C7" s="97">
        <f ca="1">OFFSET(TblPop[[#This Row],[Peasants]],-1,0)+OFFSET(TblPop[[#This Row],[Net Peasant]],-1,0)+TblMili[[#This Row],[Release Draft]]</f>
        <v>1378</v>
      </c>
      <c r="D7" s="97">
        <f ca="1">TblMili[[#This Row],[Military]]</f>
        <v>340</v>
      </c>
      <c r="E7" s="97">
        <f ca="1">TblMili[[#This Row],[Draftees]]</f>
        <v>290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290</v>
      </c>
      <c r="M7" s="62">
        <f ca="1">TblMili[[#This Row],[Unit 1]]</f>
        <v>0</v>
      </c>
      <c r="N7" s="62">
        <f ca="1">TblMili[[#This Row],[Unit 2]]</f>
        <v>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45281.166666666657</v>
      </c>
      <c r="C8" s="97">
        <f ca="1">OFFSET(TblPop[[#This Row],[Peasants]],-1,0)+OFFSET(TblPop[[#This Row],[Net Peasant]],-1,0)+TblMili[[#This Row],[Release Draft]]</f>
        <v>1405</v>
      </c>
      <c r="D8" s="97">
        <f ca="1">TblMili[[#This Row],[Military]]</f>
        <v>354</v>
      </c>
      <c r="E8" s="97">
        <f ca="1">TblMili[[#This Row],[Draftees]]</f>
        <v>304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304</v>
      </c>
      <c r="M8" s="62">
        <f ca="1">TblMili[[#This Row],[Unit 1]]</f>
        <v>0</v>
      </c>
      <c r="N8" s="62">
        <f ca="1">TblMili[[#This Row],[Unit 2]]</f>
        <v>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45281.208333333321</v>
      </c>
      <c r="C9" s="97">
        <f ca="1">OFFSET(TblPop[[#This Row],[Peasants]],-1,0)+OFFSET(TblPop[[#This Row],[Net Peasant]],-1,0)+TblMili[[#This Row],[Release Draft]]</f>
        <v>1433</v>
      </c>
      <c r="D9" s="97">
        <f ca="1">TblMili[[#This Row],[Military]]</f>
        <v>368</v>
      </c>
      <c r="E9" s="97">
        <f ca="1">TblMili[[#This Row],[Draftees]]</f>
        <v>318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318</v>
      </c>
      <c r="M9" s="62">
        <f ca="1">TblMili[[#This Row],[Unit 1]]</f>
        <v>0</v>
      </c>
      <c r="N9" s="62">
        <f ca="1">TblMili[[#This Row],[Unit 2]]</f>
        <v>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45281.249999999985</v>
      </c>
      <c r="C10" s="97">
        <f ca="1">OFFSET(TblPop[[#This Row],[Peasants]],-1,0)+OFFSET(TblPop[[#This Row],[Net Peasant]],-1,0)+TblMili[[#This Row],[Release Draft]]</f>
        <v>1462</v>
      </c>
      <c r="D10" s="97">
        <f ca="1">TblMili[[#This Row],[Military]]</f>
        <v>382</v>
      </c>
      <c r="E10" s="97">
        <f ca="1">TblMili[[#This Row],[Draftees]]</f>
        <v>332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332</v>
      </c>
      <c r="M10" s="62">
        <f ca="1">TblMili[[#This Row],[Unit 1]]</f>
        <v>0</v>
      </c>
      <c r="N10" s="62">
        <f ca="1">TblMili[[#This Row],[Unit 2]]</f>
        <v>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45281.29166666665</v>
      </c>
      <c r="C11" s="97">
        <f ca="1">OFFSET(TblPop[[#This Row],[Peasants]],-1,0)+OFFSET(TblPop[[#This Row],[Net Peasant]],-1,0)+TblMili[[#This Row],[Release Draft]]</f>
        <v>1490</v>
      </c>
      <c r="D11" s="97">
        <f ca="1">TblMili[[#This Row],[Military]]</f>
        <v>397</v>
      </c>
      <c r="E11" s="97">
        <f ca="1">TblMili[[#This Row],[Draftees]]</f>
        <v>347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347</v>
      </c>
      <c r="M11" s="62">
        <f ca="1">TblMili[[#This Row],[Unit 1]]</f>
        <v>0</v>
      </c>
      <c r="N11" s="62">
        <f ca="1">TblMili[[#This Row],[Unit 2]]</f>
        <v>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45281.333333333314</v>
      </c>
      <c r="C12" s="97">
        <f ca="1">OFFSET(TblPop[[#This Row],[Peasants]],-1,0)+OFFSET(TblPop[[#This Row],[Net Peasant]],-1,0)+TblMili[[#This Row],[Release Draft]]</f>
        <v>1519</v>
      </c>
      <c r="D12" s="97">
        <f ca="1">TblMili[[#This Row],[Military]]</f>
        <v>412</v>
      </c>
      <c r="E12" s="97">
        <f ca="1">TblMili[[#This Row],[Draftees]]</f>
        <v>362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362</v>
      </c>
      <c r="M12" s="62">
        <f ca="1">TblMili[[#This Row],[Unit 1]]</f>
        <v>0</v>
      </c>
      <c r="N12" s="62">
        <f ca="1">TblMili[[#This Row],[Unit 2]]</f>
        <v>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45281.374999999978</v>
      </c>
      <c r="C13" s="97">
        <f ca="1">OFFSET(TblPop[[#This Row],[Peasants]],-1,0)+OFFSET(TblPop[[#This Row],[Net Peasant]],-1,0)+TblMili[[#This Row],[Release Draft]]</f>
        <v>1549</v>
      </c>
      <c r="D13" s="97">
        <f ca="1">TblMili[[#This Row],[Military]]</f>
        <v>427</v>
      </c>
      <c r="E13" s="97">
        <f ca="1">TblMili[[#This Row],[Draftees]]</f>
        <v>377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377</v>
      </c>
      <c r="M13" s="62">
        <f ca="1">TblMili[[#This Row],[Unit 1]]</f>
        <v>0</v>
      </c>
      <c r="N13" s="62">
        <f ca="1">TblMili[[#This Row],[Unit 2]]</f>
        <v>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45281.416666666642</v>
      </c>
      <c r="C14" s="97">
        <f ca="1">OFFSET(TblPop[[#This Row],[Peasants]],-1,0)+OFFSET(TblPop[[#This Row],[Net Peasant]],-1,0)+TblMili[[#This Row],[Release Draft]]</f>
        <v>1580</v>
      </c>
      <c r="D14" s="97">
        <f ca="1">TblMili[[#This Row],[Military]]</f>
        <v>442</v>
      </c>
      <c r="E14" s="97">
        <f ca="1">TblMili[[#This Row],[Draftees]]</f>
        <v>392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392</v>
      </c>
      <c r="M14" s="62">
        <f ca="1">TblMili[[#This Row],[Unit 1]]</f>
        <v>0</v>
      </c>
      <c r="N14" s="62">
        <f ca="1">TblMili[[#This Row],[Unit 2]]</f>
        <v>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45281.458333333307</v>
      </c>
      <c r="C15" s="97">
        <f ca="1">OFFSET(TblPop[[#This Row],[Peasants]],-1,0)+OFFSET(TblPop[[#This Row],[Net Peasant]],-1,0)+TblMili[[#This Row],[Release Draft]]</f>
        <v>1611</v>
      </c>
      <c r="D15" s="97">
        <f ca="1">TblMili[[#This Row],[Military]]</f>
        <v>458</v>
      </c>
      <c r="E15" s="97">
        <f ca="1">TblMili[[#This Row],[Draftees]]</f>
        <v>408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408</v>
      </c>
      <c r="M15" s="62">
        <f ca="1">TblMili[[#This Row],[Unit 1]]</f>
        <v>0</v>
      </c>
      <c r="N15" s="62">
        <f ca="1">TblMili[[#This Row],[Unit 2]]</f>
        <v>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45281.499999999971</v>
      </c>
      <c r="C16" s="97">
        <f ca="1">OFFSET(TblPop[[#This Row],[Peasants]],-1,0)+OFFSET(TblPop[[#This Row],[Net Peasant]],-1,0)+TblMili[[#This Row],[Release Draft]]</f>
        <v>1643</v>
      </c>
      <c r="D16" s="97">
        <f ca="1">TblMili[[#This Row],[Military]]</f>
        <v>474</v>
      </c>
      <c r="E16" s="97">
        <f ca="1">TblMili[[#This Row],[Draftees]]</f>
        <v>424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424</v>
      </c>
      <c r="M16" s="62">
        <f ca="1">TblMili[[#This Row],[Unit 1]]</f>
        <v>0</v>
      </c>
      <c r="N16" s="62">
        <f ca="1">TblMili[[#This Row],[Unit 2]]</f>
        <v>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45281.541666666635</v>
      </c>
      <c r="C17" s="97">
        <f ca="1">OFFSET(TblPop[[#This Row],[Peasants]],-1,0)+OFFSET(TblPop[[#This Row],[Net Peasant]],-1,0)+TblMili[[#This Row],[Release Draft]]</f>
        <v>1676</v>
      </c>
      <c r="D17" s="97">
        <f ca="1">TblMili[[#This Row],[Military]]</f>
        <v>490</v>
      </c>
      <c r="E17" s="97">
        <f ca="1">TblMili[[#This Row],[Draftees]]</f>
        <v>440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440</v>
      </c>
      <c r="M17" s="62">
        <f ca="1">TblMili[[#This Row],[Unit 1]]</f>
        <v>0</v>
      </c>
      <c r="N17" s="62">
        <f ca="1">TblMili[[#This Row],[Unit 2]]</f>
        <v>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45281.583333333299</v>
      </c>
      <c r="C18" s="97">
        <f ca="1">OFFSET(TblPop[[#This Row],[Peasants]],-1,0)+OFFSET(TblPop[[#This Row],[Net Peasant]],-1,0)+TblMili[[#This Row],[Release Draft]]</f>
        <v>1709</v>
      </c>
      <c r="D18" s="97">
        <f ca="1">TblMili[[#This Row],[Military]]</f>
        <v>507</v>
      </c>
      <c r="E18" s="97">
        <f ca="1">TblMili[[#This Row],[Draftees]]</f>
        <v>457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457</v>
      </c>
      <c r="M18" s="62">
        <f ca="1">TblMili[[#This Row],[Unit 1]]</f>
        <v>0</v>
      </c>
      <c r="N18" s="62">
        <f ca="1">TblMili[[#This Row],[Unit 2]]</f>
        <v>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45281.624999999964</v>
      </c>
      <c r="C19" s="97">
        <f ca="1">OFFSET(TblPop[[#This Row],[Peasants]],-1,0)+OFFSET(TblPop[[#This Row],[Net Peasant]],-1,0)+TblMili[[#This Row],[Release Draft]]</f>
        <v>1743</v>
      </c>
      <c r="D19" s="97">
        <f ca="1">TblMili[[#This Row],[Military]]</f>
        <v>524</v>
      </c>
      <c r="E19" s="97">
        <f ca="1">TblMili[[#This Row],[Draftees]]</f>
        <v>474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474</v>
      </c>
      <c r="M19" s="62">
        <f ca="1">TblMili[[#This Row],[Unit 1]]</f>
        <v>0</v>
      </c>
      <c r="N19" s="62">
        <f ca="1">TblMili[[#This Row],[Unit 2]]</f>
        <v>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45281.666666666628</v>
      </c>
      <c r="C20" s="97">
        <f ca="1">OFFSET(TblPop[[#This Row],[Peasants]],-1,0)+OFFSET(TblPop[[#This Row],[Net Peasant]],-1,0)+TblMili[[#This Row],[Release Draft]]</f>
        <v>1778</v>
      </c>
      <c r="D20" s="97">
        <f ca="1">TblMili[[#This Row],[Military]]</f>
        <v>541</v>
      </c>
      <c r="E20" s="97">
        <f ca="1">TblMili[[#This Row],[Draftees]]</f>
        <v>491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491</v>
      </c>
      <c r="M20" s="62">
        <f ca="1">TblMili[[#This Row],[Unit 1]]</f>
        <v>0</v>
      </c>
      <c r="N20" s="62">
        <f ca="1">TblMili[[#This Row],[Unit 2]]</f>
        <v>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45281.708333333292</v>
      </c>
      <c r="C21" s="97">
        <f ca="1">OFFSET(TblPop[[#This Row],[Peasants]],-1,0)+OFFSET(TblPop[[#This Row],[Net Peasant]],-1,0)+TblMili[[#This Row],[Release Draft]]</f>
        <v>1799</v>
      </c>
      <c r="D21" s="97">
        <f ca="1">TblMili[[#This Row],[Military]]</f>
        <v>559</v>
      </c>
      <c r="E21" s="97">
        <f ca="1">TblMili[[#This Row],[Draftees]]</f>
        <v>509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509</v>
      </c>
      <c r="M21" s="62">
        <f ca="1">TblMili[[#This Row],[Unit 1]]</f>
        <v>0</v>
      </c>
      <c r="N21" s="62">
        <f ca="1">TblMili[[#This Row],[Unit 2]]</f>
        <v>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45281.749999999956</v>
      </c>
      <c r="C22" s="97">
        <f ca="1">OFFSET(TblPop[[#This Row],[Peasants]],-1,0)+OFFSET(TblPop[[#This Row],[Net Peasant]],-1,0)+TblMili[[#This Row],[Release Draft]]</f>
        <v>1781</v>
      </c>
      <c r="D22" s="97">
        <f ca="1">TblMili[[#This Row],[Military]]</f>
        <v>577</v>
      </c>
      <c r="E22" s="97">
        <f ca="1">TblMili[[#This Row],[Draftees]]</f>
        <v>527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527</v>
      </c>
      <c r="M22" s="62">
        <f ca="1">TblMili[[#This Row],[Unit 1]]</f>
        <v>0</v>
      </c>
      <c r="N22" s="62">
        <f ca="1">TblMili[[#This Row],[Unit 2]]</f>
        <v>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45281.791666666621</v>
      </c>
      <c r="C23" s="97">
        <f ca="1">OFFSET(TblPop[[#This Row],[Peasants]],-1,0)+OFFSET(TblPop[[#This Row],[Net Peasant]],-1,0)+TblMili[[#This Row],[Release Draft]]</f>
        <v>1763</v>
      </c>
      <c r="D23" s="97">
        <f ca="1">TblMili[[#This Row],[Military]]</f>
        <v>595</v>
      </c>
      <c r="E23" s="97">
        <f ca="1">TblMili[[#This Row],[Draftees]]</f>
        <v>545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545</v>
      </c>
      <c r="M23" s="62">
        <f ca="1">TblMili[[#This Row],[Unit 1]]</f>
        <v>0</v>
      </c>
      <c r="N23" s="62">
        <f ca="1">TblMili[[#This Row],[Unit 2]]</f>
        <v>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45281.833333333285</v>
      </c>
      <c r="C24" s="97">
        <f ca="1">OFFSET(TblPop[[#This Row],[Peasants]],-1,0)+OFFSET(TblPop[[#This Row],[Net Peasant]],-1,0)+TblMili[[#This Row],[Release Draft]]</f>
        <v>1745</v>
      </c>
      <c r="D24" s="97">
        <f ca="1">TblMili[[#This Row],[Military]]</f>
        <v>613</v>
      </c>
      <c r="E24" s="97">
        <f ca="1">TblMili[[#This Row],[Draftees]]</f>
        <v>563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563</v>
      </c>
      <c r="M24" s="62">
        <f ca="1">TblMili[[#This Row],[Unit 1]]</f>
        <v>0</v>
      </c>
      <c r="N24" s="62">
        <f ca="1">TblMili[[#This Row],[Unit 2]]</f>
        <v>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45281.874999999949</v>
      </c>
      <c r="C25" s="97">
        <f ca="1">OFFSET(TblPop[[#This Row],[Peasants]],-1,0)+OFFSET(TblPop[[#This Row],[Net Peasant]],-1,0)+TblMili[[#This Row],[Release Draft]]</f>
        <v>1728</v>
      </c>
      <c r="D25" s="97">
        <f ca="1">TblMili[[#This Row],[Military]]</f>
        <v>630</v>
      </c>
      <c r="E25" s="97">
        <f ca="1">TblMili[[#This Row],[Draftees]]</f>
        <v>580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580</v>
      </c>
      <c r="M25" s="62">
        <f ca="1">TblMili[[#This Row],[Unit 1]]</f>
        <v>0</v>
      </c>
      <c r="N25" s="62">
        <f ca="1">TblMili[[#This Row],[Unit 2]]</f>
        <v>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45281.916666666613</v>
      </c>
      <c r="C26" s="97">
        <f ca="1">OFFSET(TblPop[[#This Row],[Peasants]],-1,0)+OFFSET(TblPop[[#This Row],[Net Peasant]],-1,0)+TblMili[[#This Row],[Release Draft]]</f>
        <v>1711</v>
      </c>
      <c r="D26" s="97">
        <f ca="1">TblMili[[#This Row],[Military]]</f>
        <v>647</v>
      </c>
      <c r="E26" s="97">
        <f ca="1">TblMili[[#This Row],[Draftees]]</f>
        <v>597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597</v>
      </c>
      <c r="M26" s="62">
        <f ca="1">TblMili[[#This Row],[Unit 1]]</f>
        <v>0</v>
      </c>
      <c r="N26" s="62">
        <f ca="1">TblMili[[#This Row],[Unit 2]]</f>
        <v>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45281.958333333278</v>
      </c>
      <c r="C27" s="97">
        <f ca="1">OFFSET(TblPop[[#This Row],[Peasants]],-1,0)+OFFSET(TblPop[[#This Row],[Net Peasant]],-1,0)+TblMili[[#This Row],[Release Draft]]</f>
        <v>1694</v>
      </c>
      <c r="D27" s="97">
        <f ca="1">TblMili[[#This Row],[Military]]</f>
        <v>664</v>
      </c>
      <c r="E27" s="97">
        <f ca="1">TblMili[[#This Row],[Draftees]]</f>
        <v>614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614</v>
      </c>
      <c r="M27" s="62">
        <f ca="1">TblMili[[#This Row],[Unit 1]]</f>
        <v>0</v>
      </c>
      <c r="N27" s="62">
        <f ca="1">TblMili[[#This Row],[Unit 2]]</f>
        <v>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45281.999999999942</v>
      </c>
      <c r="C28" s="97">
        <f ca="1">OFFSET(TblPop[[#This Row],[Peasants]],-1,0)+OFFSET(TblPop[[#This Row],[Net Peasant]],-1,0)+TblMili[[#This Row],[Release Draft]]</f>
        <v>1677</v>
      </c>
      <c r="D28" s="97">
        <f ca="1">TblMili[[#This Row],[Military]]</f>
        <v>681</v>
      </c>
      <c r="E28" s="97">
        <f ca="1">TblMili[[#This Row],[Draftees]]</f>
        <v>631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631</v>
      </c>
      <c r="M28" s="62">
        <f ca="1">TblMili[[#This Row],[Unit 1]]</f>
        <v>0</v>
      </c>
      <c r="N28" s="62">
        <f ca="1">TblMili[[#This Row],[Unit 2]]</f>
        <v>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45282.041666666606</v>
      </c>
      <c r="C29" s="97">
        <f ca="1">OFFSET(TblPop[[#This Row],[Peasants]],-1,0)+OFFSET(TblPop[[#This Row],[Net Peasant]],-1,0)+TblMili[[#This Row],[Release Draft]]</f>
        <v>1660</v>
      </c>
      <c r="D29" s="97">
        <f ca="1">TblMili[[#This Row],[Military]]</f>
        <v>698</v>
      </c>
      <c r="E29" s="97">
        <f ca="1">TblMili[[#This Row],[Draftees]]</f>
        <v>648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648</v>
      </c>
      <c r="M29" s="62">
        <f ca="1">TblMili[[#This Row],[Unit 1]]</f>
        <v>0</v>
      </c>
      <c r="N29" s="62">
        <f ca="1">TblMili[[#This Row],[Unit 2]]</f>
        <v>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45282.08333333327</v>
      </c>
      <c r="C30" s="97">
        <f ca="1">OFFSET(TblPop[[#This Row],[Peasants]],-1,0)+OFFSET(TblPop[[#This Row],[Net Peasant]],-1,0)+TblMili[[#This Row],[Release Draft]]</f>
        <v>1643</v>
      </c>
      <c r="D30" s="97">
        <f ca="1">TblMili[[#This Row],[Military]]</f>
        <v>715</v>
      </c>
      <c r="E30" s="97">
        <f ca="1">TblMili[[#This Row],[Draftees]]</f>
        <v>665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665</v>
      </c>
      <c r="M30" s="62">
        <f ca="1">TblMili[[#This Row],[Unit 1]]</f>
        <v>0</v>
      </c>
      <c r="N30" s="62">
        <f ca="1">TblMili[[#This Row],[Unit 2]]</f>
        <v>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45282.124999999935</v>
      </c>
      <c r="C31" s="97">
        <f ca="1">OFFSET(TblPop[[#This Row],[Peasants]],-1,0)+OFFSET(TblPop[[#This Row],[Net Peasant]],-1,0)+TblMili[[#This Row],[Release Draft]]</f>
        <v>1627</v>
      </c>
      <c r="D31" s="97">
        <f ca="1">TblMili[[#This Row],[Military]]</f>
        <v>731</v>
      </c>
      <c r="E31" s="97">
        <f ca="1">TblMili[[#This Row],[Draftees]]</f>
        <v>681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681</v>
      </c>
      <c r="M31" s="62">
        <f ca="1">TblMili[[#This Row],[Unit 1]]</f>
        <v>0</v>
      </c>
      <c r="N31" s="62">
        <f ca="1">TblMili[[#This Row],[Unit 2]]</f>
        <v>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45282.166666666599</v>
      </c>
      <c r="C32" s="97">
        <f ca="1">OFFSET(TblPop[[#This Row],[Peasants]],-1,0)+OFFSET(TblPop[[#This Row],[Net Peasant]],-1,0)+TblMili[[#This Row],[Release Draft]]</f>
        <v>1611</v>
      </c>
      <c r="D32" s="97">
        <f ca="1">TblMili[[#This Row],[Military]]</f>
        <v>747</v>
      </c>
      <c r="E32" s="97">
        <f ca="1">TblMili[[#This Row],[Draftees]]</f>
        <v>697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697</v>
      </c>
      <c r="M32" s="62">
        <f ca="1">TblMili[[#This Row],[Unit 1]]</f>
        <v>0</v>
      </c>
      <c r="N32" s="62">
        <f ca="1">TblMili[[#This Row],[Unit 2]]</f>
        <v>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45282.208333333263</v>
      </c>
      <c r="C33" s="97">
        <f ca="1">OFFSET(TblPop[[#This Row],[Peasants]],-1,0)+OFFSET(TblPop[[#This Row],[Net Peasant]],-1,0)+TblMili[[#This Row],[Release Draft]]</f>
        <v>1595</v>
      </c>
      <c r="D33" s="97">
        <f ca="1">TblMili[[#This Row],[Military]]</f>
        <v>763</v>
      </c>
      <c r="E33" s="97">
        <f ca="1">TblMili[[#This Row],[Draftees]]</f>
        <v>713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713</v>
      </c>
      <c r="M33" s="62">
        <f ca="1">TblMili[[#This Row],[Unit 1]]</f>
        <v>0</v>
      </c>
      <c r="N33" s="62">
        <f ca="1">TblMili[[#This Row],[Unit 2]]</f>
        <v>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45282.249999999927</v>
      </c>
      <c r="C34" s="97">
        <f ca="1">OFFSET(TblPop[[#This Row],[Peasants]],-1,0)+OFFSET(TblPop[[#This Row],[Net Peasant]],-1,0)+TblMili[[#This Row],[Release Draft]]</f>
        <v>1579</v>
      </c>
      <c r="D34" s="97">
        <f ca="1">TblMili[[#This Row],[Military]]</f>
        <v>779</v>
      </c>
      <c r="E34" s="97">
        <f ca="1">TblMili[[#This Row],[Draftees]]</f>
        <v>729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729</v>
      </c>
      <c r="M34" s="62">
        <f ca="1">TblMili[[#This Row],[Unit 1]]</f>
        <v>0</v>
      </c>
      <c r="N34" s="62">
        <f ca="1">TblMili[[#This Row],[Unit 2]]</f>
        <v>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45282.291666666591</v>
      </c>
      <c r="C35" s="97">
        <f ca="1">OFFSET(TblPop[[#This Row],[Peasants]],-1,0)+OFFSET(TblPop[[#This Row],[Net Peasant]],-1,0)+TblMili[[#This Row],[Release Draft]]</f>
        <v>1563</v>
      </c>
      <c r="D35" s="97">
        <f ca="1">TblMili[[#This Row],[Military]]</f>
        <v>795</v>
      </c>
      <c r="E35" s="97">
        <f ca="1">TblMili[[#This Row],[Draftees]]</f>
        <v>745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745</v>
      </c>
      <c r="M35" s="62">
        <f ca="1">TblMili[[#This Row],[Unit 1]]</f>
        <v>0</v>
      </c>
      <c r="N35" s="62">
        <f ca="1">TblMili[[#This Row],[Unit 2]]</f>
        <v>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45282.333333333256</v>
      </c>
      <c r="C36" s="97">
        <f ca="1">OFFSET(TblPop[[#This Row],[Peasants]],-1,0)+OFFSET(TblPop[[#This Row],[Net Peasant]],-1,0)+TblMili[[#This Row],[Release Draft]]</f>
        <v>1547</v>
      </c>
      <c r="D36" s="97">
        <f ca="1">TblMili[[#This Row],[Military]]</f>
        <v>811</v>
      </c>
      <c r="E36" s="97">
        <f ca="1">TblMili[[#This Row],[Draftees]]</f>
        <v>761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761</v>
      </c>
      <c r="M36" s="62">
        <f ca="1">TblMili[[#This Row],[Unit 1]]</f>
        <v>0</v>
      </c>
      <c r="N36" s="62">
        <f ca="1">TblMili[[#This Row],[Unit 2]]</f>
        <v>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45282.37499999992</v>
      </c>
      <c r="C37" s="97">
        <f ca="1">OFFSET(TblPop[[#This Row],[Peasants]],-1,0)+OFFSET(TblPop[[#This Row],[Net Peasant]],-1,0)+TblMili[[#This Row],[Release Draft]]</f>
        <v>1532</v>
      </c>
      <c r="D37" s="97">
        <f ca="1">TblMili[[#This Row],[Military]]</f>
        <v>826</v>
      </c>
      <c r="E37" s="97">
        <f ca="1">TblMili[[#This Row],[Draftees]]</f>
        <v>776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776</v>
      </c>
      <c r="M37" s="62">
        <f ca="1">TblMili[[#This Row],[Unit 1]]</f>
        <v>0</v>
      </c>
      <c r="N37" s="62">
        <f ca="1">TblMili[[#This Row],[Unit 2]]</f>
        <v>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45282.416666666584</v>
      </c>
      <c r="C38" s="97">
        <f ca="1">OFFSET(TblPop[[#This Row],[Peasants]],-1,0)+OFFSET(TblPop[[#This Row],[Net Peasant]],-1,0)+TblMili[[#This Row],[Release Draft]]</f>
        <v>1532</v>
      </c>
      <c r="D38" s="97">
        <f ca="1">TblMili[[#This Row],[Military]]</f>
        <v>826</v>
      </c>
      <c r="E38" s="97">
        <f ca="1">TblMili[[#This Row],[Draftees]]</f>
        <v>776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776</v>
      </c>
      <c r="M38" s="62">
        <f ca="1">TblMili[[#This Row],[Unit 1]]</f>
        <v>0</v>
      </c>
      <c r="N38" s="62">
        <f ca="1">TblMili[[#This Row],[Unit 2]]</f>
        <v>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45282.458333333248</v>
      </c>
      <c r="C39" s="97">
        <f ca="1">OFFSET(TblPop[[#This Row],[Peasants]],-1,0)+OFFSET(TblPop[[#This Row],[Net Peasant]],-1,0)+TblMili[[#This Row],[Release Draft]]</f>
        <v>1532</v>
      </c>
      <c r="D39" s="97">
        <f ca="1">TblMili[[#This Row],[Military]]</f>
        <v>826</v>
      </c>
      <c r="E39" s="97">
        <f ca="1">TblMili[[#This Row],[Draftees]]</f>
        <v>776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776</v>
      </c>
      <c r="M39" s="62">
        <f ca="1">TblMili[[#This Row],[Unit 1]]</f>
        <v>0</v>
      </c>
      <c r="N39" s="62">
        <f ca="1">TblMili[[#This Row],[Unit 2]]</f>
        <v>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45282.499999999913</v>
      </c>
      <c r="C40" s="97">
        <f ca="1">OFFSET(TblPop[[#This Row],[Peasants]],-1,0)+OFFSET(TblPop[[#This Row],[Net Peasant]],-1,0)+TblMili[[#This Row],[Release Draft]]</f>
        <v>1532</v>
      </c>
      <c r="D40" s="97">
        <f ca="1">TblMili[[#This Row],[Military]]</f>
        <v>826</v>
      </c>
      <c r="E40" s="97">
        <f ca="1">TblMili[[#This Row],[Draftees]]</f>
        <v>776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776</v>
      </c>
      <c r="M40" s="62">
        <f ca="1">TblMili[[#This Row],[Unit 1]]</f>
        <v>0</v>
      </c>
      <c r="N40" s="62">
        <f ca="1">TblMili[[#This Row],[Unit 2]]</f>
        <v>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45282.541666666577</v>
      </c>
      <c r="C41" s="97">
        <f ca="1">OFFSET(TblPop[[#This Row],[Peasants]],-1,0)+OFFSET(TblPop[[#This Row],[Net Peasant]],-1,0)+TblMili[[#This Row],[Release Draft]]</f>
        <v>1532</v>
      </c>
      <c r="D41" s="97">
        <f ca="1">TblMili[[#This Row],[Military]]</f>
        <v>826</v>
      </c>
      <c r="E41" s="97">
        <f ca="1">TblMili[[#This Row],[Draftees]]</f>
        <v>776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776</v>
      </c>
      <c r="M41" s="62">
        <f ca="1">TblMili[[#This Row],[Unit 1]]</f>
        <v>0</v>
      </c>
      <c r="N41" s="62">
        <f ca="1">TblMili[[#This Row],[Unit 2]]</f>
        <v>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45282.583333333241</v>
      </c>
      <c r="C42" s="97">
        <f ca="1">OFFSET(TblPop[[#This Row],[Peasants]],-1,0)+OFFSET(TblPop[[#This Row],[Net Peasant]],-1,0)+TblMili[[#This Row],[Release Draft]]</f>
        <v>1532</v>
      </c>
      <c r="D42" s="97">
        <f ca="1">TblMili[[#This Row],[Military]]</f>
        <v>826</v>
      </c>
      <c r="E42" s="97">
        <f ca="1">TblMili[[#This Row],[Draftees]]</f>
        <v>776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776</v>
      </c>
      <c r="M42" s="62">
        <f ca="1">TblMili[[#This Row],[Unit 1]]</f>
        <v>0</v>
      </c>
      <c r="N42" s="62">
        <f ca="1">TblMili[[#This Row],[Unit 2]]</f>
        <v>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45282.624999999905</v>
      </c>
      <c r="C43" s="97">
        <f ca="1">OFFSET(TblPop[[#This Row],[Peasants]],-1,0)+OFFSET(TblPop[[#This Row],[Net Peasant]],-1,0)+TblMili[[#This Row],[Release Draft]]</f>
        <v>1532</v>
      </c>
      <c r="D43" s="97">
        <f ca="1">TblMili[[#This Row],[Military]]</f>
        <v>826</v>
      </c>
      <c r="E43" s="97">
        <f ca="1">TblMili[[#This Row],[Draftees]]</f>
        <v>776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776</v>
      </c>
      <c r="M43" s="62">
        <f ca="1">TblMili[[#This Row],[Unit 1]]</f>
        <v>0</v>
      </c>
      <c r="N43" s="62">
        <f ca="1">TblMili[[#This Row],[Unit 2]]</f>
        <v>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45282.66666666657</v>
      </c>
      <c r="C44" s="97">
        <f ca="1">OFFSET(TblPop[[#This Row],[Peasants]],-1,0)+OFFSET(TblPop[[#This Row],[Net Peasant]],-1,0)+TblMili[[#This Row],[Release Draft]]</f>
        <v>1532</v>
      </c>
      <c r="D44" s="97">
        <f ca="1">TblMili[[#This Row],[Military]]</f>
        <v>826</v>
      </c>
      <c r="E44" s="97">
        <f ca="1">TblMili[[#This Row],[Draftees]]</f>
        <v>776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776</v>
      </c>
      <c r="M44" s="62">
        <f ca="1">TblMili[[#This Row],[Unit 1]]</f>
        <v>0</v>
      </c>
      <c r="N44" s="62">
        <f ca="1">TblMili[[#This Row],[Unit 2]]</f>
        <v>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45282.708333333234</v>
      </c>
      <c r="C45" s="97">
        <f ca="1">OFFSET(TblPop[[#This Row],[Peasants]],-1,0)+OFFSET(TblPop[[#This Row],[Net Peasant]],-1,0)+TblMili[[#This Row],[Release Draft]]</f>
        <v>1532</v>
      </c>
      <c r="D45" s="97">
        <f ca="1">TblMili[[#This Row],[Military]]</f>
        <v>826</v>
      </c>
      <c r="E45" s="97">
        <f ca="1">TblMili[[#This Row],[Draftees]]</f>
        <v>776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776</v>
      </c>
      <c r="M45" s="62">
        <f ca="1">TblMili[[#This Row],[Unit 1]]</f>
        <v>0</v>
      </c>
      <c r="N45" s="62">
        <f ca="1">TblMili[[#This Row],[Unit 2]]</f>
        <v>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45282.749999999898</v>
      </c>
      <c r="C46" s="97">
        <f ca="1">OFFSET(TblPop[[#This Row],[Peasants]],-1,0)+OFFSET(TblPop[[#This Row],[Net Peasant]],-1,0)+TblMili[[#This Row],[Release Draft]]</f>
        <v>1532</v>
      </c>
      <c r="D46" s="97">
        <f ca="1">TblMili[[#This Row],[Military]]</f>
        <v>826</v>
      </c>
      <c r="E46" s="97">
        <f ca="1">TblMili[[#This Row],[Draftees]]</f>
        <v>776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776</v>
      </c>
      <c r="M46" s="62">
        <f ca="1">TblMili[[#This Row],[Unit 1]]</f>
        <v>0</v>
      </c>
      <c r="N46" s="62">
        <f ca="1">TblMili[[#This Row],[Unit 2]]</f>
        <v>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45282.791666666562</v>
      </c>
      <c r="C47" s="97">
        <f ca="1">OFFSET(TblPop[[#This Row],[Peasants]],-1,0)+OFFSET(TblPop[[#This Row],[Net Peasant]],-1,0)+TblMili[[#This Row],[Release Draft]]</f>
        <v>1532</v>
      </c>
      <c r="D47" s="97">
        <f ca="1">TblMili[[#This Row],[Military]]</f>
        <v>826</v>
      </c>
      <c r="E47" s="97">
        <f ca="1">TblMili[[#This Row],[Draftees]]</f>
        <v>776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776</v>
      </c>
      <c r="M47" s="62">
        <f ca="1">TblMili[[#This Row],[Unit 1]]</f>
        <v>0</v>
      </c>
      <c r="N47" s="62">
        <f ca="1">TblMili[[#This Row],[Unit 2]]</f>
        <v>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45282.833333333227</v>
      </c>
      <c r="C48" s="97">
        <f ca="1">OFFSET(TblPop[[#This Row],[Peasants]],-1,0)+OFFSET(TblPop[[#This Row],[Net Peasant]],-1,0)+TblMili[[#This Row],[Release Draft]]</f>
        <v>1532</v>
      </c>
      <c r="D48" s="97">
        <f ca="1">TblMili[[#This Row],[Military]]</f>
        <v>826</v>
      </c>
      <c r="E48" s="97">
        <f ca="1">TblMili[[#This Row],[Draftees]]</f>
        <v>776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776</v>
      </c>
      <c r="M48" s="62">
        <f ca="1">TblMili[[#This Row],[Unit 1]]</f>
        <v>0</v>
      </c>
      <c r="N48" s="62">
        <f ca="1">TblMili[[#This Row],[Unit 2]]</f>
        <v>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45282.874999999891</v>
      </c>
      <c r="C49" s="97">
        <f ca="1">OFFSET(TblPop[[#This Row],[Peasants]],-1,0)+OFFSET(TblPop[[#This Row],[Net Peasant]],-1,0)+TblMili[[#This Row],[Release Draft]]</f>
        <v>1532</v>
      </c>
      <c r="D49" s="97">
        <f ca="1">TblMili[[#This Row],[Military]]</f>
        <v>826</v>
      </c>
      <c r="E49" s="97">
        <f ca="1">TblMili[[#This Row],[Draftees]]</f>
        <v>776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776</v>
      </c>
      <c r="M49" s="62">
        <f ca="1">TblMili[[#This Row],[Unit 1]]</f>
        <v>0</v>
      </c>
      <c r="N49" s="62">
        <f ca="1">TblMili[[#This Row],[Unit 2]]</f>
        <v>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45282.916666666555</v>
      </c>
      <c r="C50" s="97">
        <f ca="1">OFFSET(TblPop[[#This Row],[Peasants]],-1,0)+OFFSET(TblPop[[#This Row],[Net Peasant]],-1,0)+TblMili[[#This Row],[Release Draft]]</f>
        <v>1532</v>
      </c>
      <c r="D50" s="97">
        <f ca="1">TblMili[[#This Row],[Military]]</f>
        <v>826</v>
      </c>
      <c r="E50" s="97">
        <f ca="1">TblMili[[#This Row],[Draftees]]</f>
        <v>776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776</v>
      </c>
      <c r="M50" s="62">
        <f ca="1">TblMili[[#This Row],[Unit 1]]</f>
        <v>0</v>
      </c>
      <c r="N50" s="62">
        <f ca="1">TblMili[[#This Row],[Unit 2]]</f>
        <v>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45282.958333333219</v>
      </c>
      <c r="C51" s="97">
        <f ca="1">OFFSET(TblPop[[#This Row],[Peasants]],-1,0)+OFFSET(TblPop[[#This Row],[Net Peasant]],-1,0)+TblMili[[#This Row],[Release Draft]]</f>
        <v>1532</v>
      </c>
      <c r="D51" s="97">
        <f ca="1">TblMili[[#This Row],[Military]]</f>
        <v>826</v>
      </c>
      <c r="E51" s="97">
        <f ca="1">TblMili[[#This Row],[Draftees]]</f>
        <v>776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776</v>
      </c>
      <c r="M51" s="62">
        <f ca="1">TblMili[[#This Row],[Unit 1]]</f>
        <v>0</v>
      </c>
      <c r="N51" s="62">
        <f ca="1">TblMili[[#This Row],[Unit 2]]</f>
        <v>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45282.999999999884</v>
      </c>
      <c r="C52" s="97">
        <f ca="1">OFFSET(TblPop[[#This Row],[Peasants]],-1,0)+OFFSET(TblPop[[#This Row],[Net Peasant]],-1,0)+TblMili[[#This Row],[Release Draft]]</f>
        <v>1532</v>
      </c>
      <c r="D52" s="97">
        <f ca="1">TblMili[[#This Row],[Military]]</f>
        <v>826</v>
      </c>
      <c r="E52" s="97">
        <f ca="1">TblMili[[#This Row],[Draftees]]</f>
        <v>776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776</v>
      </c>
      <c r="M52" s="62">
        <f ca="1">TblMili[[#This Row],[Unit 1]]</f>
        <v>0</v>
      </c>
      <c r="N52" s="62">
        <f ca="1">TblMili[[#This Row],[Unit 2]]</f>
        <v>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45283.041666666548</v>
      </c>
      <c r="C53" s="97">
        <f ca="1">OFFSET(TblPop[[#This Row],[Peasants]],-1,0)+OFFSET(TblPop[[#This Row],[Net Peasant]],-1,0)+TblMili[[#This Row],[Release Draft]]</f>
        <v>1532</v>
      </c>
      <c r="D53" s="97">
        <f ca="1">TblMili[[#This Row],[Military]]</f>
        <v>826</v>
      </c>
      <c r="E53" s="97">
        <f ca="1">TblMili[[#This Row],[Draftees]]</f>
        <v>776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776</v>
      </c>
      <c r="M53" s="62">
        <f ca="1">TblMili[[#This Row],[Unit 1]]</f>
        <v>0</v>
      </c>
      <c r="N53" s="62">
        <f ca="1">TblMili[[#This Row],[Unit 2]]</f>
        <v>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45283.083333333212</v>
      </c>
      <c r="C54" s="97">
        <f ca="1">OFFSET(TblPop[[#This Row],[Peasants]],-1,0)+OFFSET(TblPop[[#This Row],[Net Peasant]],-1,0)+TblMili[[#This Row],[Release Draft]]</f>
        <v>1532</v>
      </c>
      <c r="D54" s="97">
        <f ca="1">TblMili[[#This Row],[Military]]</f>
        <v>826</v>
      </c>
      <c r="E54" s="97">
        <f ca="1">TblMili[[#This Row],[Draftees]]</f>
        <v>776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776</v>
      </c>
      <c r="M54" s="62">
        <f ca="1">TblMili[[#This Row],[Unit 1]]</f>
        <v>0</v>
      </c>
      <c r="N54" s="62">
        <f ca="1">TblMili[[#This Row],[Unit 2]]</f>
        <v>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45283.124999999876</v>
      </c>
      <c r="C55" s="97">
        <f ca="1">OFFSET(TblPop[[#This Row],[Peasants]],-1,0)+OFFSET(TblPop[[#This Row],[Net Peasant]],-1,0)+TblMili[[#This Row],[Release Draft]]</f>
        <v>1532</v>
      </c>
      <c r="D55" s="97">
        <f ca="1">TblMili[[#This Row],[Military]]</f>
        <v>826</v>
      </c>
      <c r="E55" s="97">
        <f ca="1">TblMili[[#This Row],[Draftees]]</f>
        <v>776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776</v>
      </c>
      <c r="M55" s="62">
        <f ca="1">TblMili[[#This Row],[Unit 1]]</f>
        <v>0</v>
      </c>
      <c r="N55" s="62">
        <f ca="1">TblMili[[#This Row],[Unit 2]]</f>
        <v>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45283.166666666541</v>
      </c>
      <c r="C56" s="97">
        <f ca="1">OFFSET(TblPop[[#This Row],[Peasants]],-1,0)+OFFSET(TblPop[[#This Row],[Net Peasant]],-1,0)+TblMili[[#This Row],[Release Draft]]</f>
        <v>1532</v>
      </c>
      <c r="D56" s="97">
        <f ca="1">TblMili[[#This Row],[Military]]</f>
        <v>826</v>
      </c>
      <c r="E56" s="97">
        <f ca="1">TblMili[[#This Row],[Draftees]]</f>
        <v>776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776</v>
      </c>
      <c r="M56" s="62">
        <f ca="1">TblMili[[#This Row],[Unit 1]]</f>
        <v>0</v>
      </c>
      <c r="N56" s="62">
        <f ca="1">TblMili[[#This Row],[Unit 2]]</f>
        <v>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45283.208333333205</v>
      </c>
      <c r="C57" s="97">
        <f ca="1">OFFSET(TblPop[[#This Row],[Peasants]],-1,0)+OFFSET(TblPop[[#This Row],[Net Peasant]],-1,0)+TblMili[[#This Row],[Release Draft]]</f>
        <v>1532</v>
      </c>
      <c r="D57" s="97">
        <f ca="1">TblMili[[#This Row],[Military]]</f>
        <v>826</v>
      </c>
      <c r="E57" s="97">
        <f ca="1">TblMili[[#This Row],[Draftees]]</f>
        <v>776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776</v>
      </c>
      <c r="M57" s="62">
        <f ca="1">TblMili[[#This Row],[Unit 1]]</f>
        <v>0</v>
      </c>
      <c r="N57" s="62">
        <f ca="1">TblMili[[#This Row],[Unit 2]]</f>
        <v>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45283.249999999869</v>
      </c>
      <c r="C58" s="97">
        <f ca="1">OFFSET(TblPop[[#This Row],[Peasants]],-1,0)+OFFSET(TblPop[[#This Row],[Net Peasant]],-1,0)+TblMili[[#This Row],[Release Draft]]</f>
        <v>1532</v>
      </c>
      <c r="D58" s="97">
        <f ca="1">TblMili[[#This Row],[Military]]</f>
        <v>826</v>
      </c>
      <c r="E58" s="97">
        <f ca="1">TblMili[[#This Row],[Draftees]]</f>
        <v>776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776</v>
      </c>
      <c r="M58" s="62">
        <f ca="1">TblMili[[#This Row],[Unit 1]]</f>
        <v>0</v>
      </c>
      <c r="N58" s="62">
        <f ca="1">TblMili[[#This Row],[Unit 2]]</f>
        <v>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45283.291666666533</v>
      </c>
      <c r="C59" s="97">
        <f ca="1">OFFSET(TblPop[[#This Row],[Peasants]],-1,0)+OFFSET(TblPop[[#This Row],[Net Peasant]],-1,0)+TblMili[[#This Row],[Release Draft]]</f>
        <v>1532</v>
      </c>
      <c r="D59" s="97">
        <f ca="1">TblMili[[#This Row],[Military]]</f>
        <v>826</v>
      </c>
      <c r="E59" s="97">
        <f ca="1">TblMili[[#This Row],[Draftees]]</f>
        <v>776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776</v>
      </c>
      <c r="M59" s="62">
        <f ca="1">TblMili[[#This Row],[Unit 1]]</f>
        <v>0</v>
      </c>
      <c r="N59" s="62">
        <f ca="1">TblMili[[#This Row],[Unit 2]]</f>
        <v>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45283.333333333198</v>
      </c>
      <c r="C60" s="97">
        <f ca="1">OFFSET(TblPop[[#This Row],[Peasants]],-1,0)+OFFSET(TblPop[[#This Row],[Net Peasant]],-1,0)+TblMili[[#This Row],[Release Draft]]</f>
        <v>1532</v>
      </c>
      <c r="D60" s="97">
        <f ca="1">TblMili[[#This Row],[Military]]</f>
        <v>826</v>
      </c>
      <c r="E60" s="97">
        <f ca="1">TblMili[[#This Row],[Draftees]]</f>
        <v>776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776</v>
      </c>
      <c r="M60" s="62">
        <f ca="1">TblMili[[#This Row],[Unit 1]]</f>
        <v>0</v>
      </c>
      <c r="N60" s="62">
        <f ca="1">TblMili[[#This Row],[Unit 2]]</f>
        <v>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45283.374999999862</v>
      </c>
      <c r="C61" s="97">
        <f ca="1">OFFSET(TblPop[[#This Row],[Peasants]],-1,0)+OFFSET(TblPop[[#This Row],[Net Peasant]],-1,0)+TblMili[[#This Row],[Release Draft]]</f>
        <v>1532</v>
      </c>
      <c r="D61" s="97">
        <f ca="1">TblMili[[#This Row],[Military]]</f>
        <v>826</v>
      </c>
      <c r="E61" s="97">
        <f ca="1">TblMili[[#This Row],[Draftees]]</f>
        <v>776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776</v>
      </c>
      <c r="M61" s="62">
        <f ca="1">TblMili[[#This Row],[Unit 1]]</f>
        <v>0</v>
      </c>
      <c r="N61" s="62">
        <f ca="1">TblMili[[#This Row],[Unit 2]]</f>
        <v>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45283.416666666526</v>
      </c>
      <c r="C62" s="97">
        <f ca="1">OFFSET(TblPop[[#This Row],[Peasants]],-1,0)+OFFSET(TblPop[[#This Row],[Net Peasant]],-1,0)+TblMili[[#This Row],[Release Draft]]</f>
        <v>1532</v>
      </c>
      <c r="D62" s="97">
        <f ca="1">TblMili[[#This Row],[Military]]</f>
        <v>826</v>
      </c>
      <c r="E62" s="97">
        <f ca="1">TblMili[[#This Row],[Draftees]]</f>
        <v>776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776</v>
      </c>
      <c r="M62" s="62">
        <f ca="1">TblMili[[#This Row],[Unit 1]]</f>
        <v>0</v>
      </c>
      <c r="N62" s="62">
        <f ca="1">TblMili[[#This Row],[Unit 2]]</f>
        <v>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45283.45833333319</v>
      </c>
      <c r="C63" s="97">
        <f ca="1">OFFSET(TblPop[[#This Row],[Peasants]],-1,0)+OFFSET(TblPop[[#This Row],[Net Peasant]],-1,0)+TblMili[[#This Row],[Release Draft]]</f>
        <v>1532</v>
      </c>
      <c r="D63" s="97">
        <f ca="1">TblMili[[#This Row],[Military]]</f>
        <v>826</v>
      </c>
      <c r="E63" s="97">
        <f ca="1">TblMili[[#This Row],[Draftees]]</f>
        <v>776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776</v>
      </c>
      <c r="M63" s="62">
        <f ca="1">TblMili[[#This Row],[Unit 1]]</f>
        <v>0</v>
      </c>
      <c r="N63" s="62">
        <f ca="1">TblMili[[#This Row],[Unit 2]]</f>
        <v>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45283.499999999854</v>
      </c>
      <c r="C64" s="97">
        <f ca="1">OFFSET(TblPop[[#This Row],[Peasants]],-1,0)+OFFSET(TblPop[[#This Row],[Net Peasant]],-1,0)+TblMili[[#This Row],[Release Draft]]</f>
        <v>1532</v>
      </c>
      <c r="D64" s="97">
        <f ca="1">TblMili[[#This Row],[Military]]</f>
        <v>826</v>
      </c>
      <c r="E64" s="97">
        <f ca="1">TblMili[[#This Row],[Draftees]]</f>
        <v>776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776</v>
      </c>
      <c r="M64" s="62">
        <f ca="1">TblMili[[#This Row],[Unit 1]]</f>
        <v>0</v>
      </c>
      <c r="N64" s="62">
        <f ca="1">TblMili[[#This Row],[Unit 2]]</f>
        <v>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45283.541666666519</v>
      </c>
      <c r="C65" s="97">
        <f ca="1">OFFSET(TblPop[[#This Row],[Peasants]],-1,0)+OFFSET(TblPop[[#This Row],[Net Peasant]],-1,0)+TblMili[[#This Row],[Release Draft]]</f>
        <v>1532</v>
      </c>
      <c r="D65" s="97">
        <f ca="1">TblMili[[#This Row],[Military]]</f>
        <v>826</v>
      </c>
      <c r="E65" s="97">
        <f ca="1">TblMili[[#This Row],[Draftees]]</f>
        <v>776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776</v>
      </c>
      <c r="M65" s="62">
        <f ca="1">TblMili[[#This Row],[Unit 1]]</f>
        <v>0</v>
      </c>
      <c r="N65" s="62">
        <f ca="1">TblMili[[#This Row],[Unit 2]]</f>
        <v>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45283.583333333183</v>
      </c>
      <c r="C66" s="97">
        <f ca="1">OFFSET(TblPop[[#This Row],[Peasants]],-1,0)+OFFSET(TblPop[[#This Row],[Net Peasant]],-1,0)+TblMili[[#This Row],[Release Draft]]</f>
        <v>1532</v>
      </c>
      <c r="D66" s="97">
        <f ca="1">TblMili[[#This Row],[Military]]</f>
        <v>826</v>
      </c>
      <c r="E66" s="97">
        <f ca="1">TblMili[[#This Row],[Draftees]]</f>
        <v>776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776</v>
      </c>
      <c r="M66" s="62">
        <f ca="1">TblMili[[#This Row],[Unit 1]]</f>
        <v>0</v>
      </c>
      <c r="N66" s="62">
        <f ca="1">TblMili[[#This Row],[Unit 2]]</f>
        <v>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45283.624999999847</v>
      </c>
      <c r="C67" s="97">
        <f ca="1">OFFSET(TblPop[[#This Row],[Peasants]],-1,0)+OFFSET(TblPop[[#This Row],[Net Peasant]],-1,0)+TblMili[[#This Row],[Release Draft]]</f>
        <v>1532</v>
      </c>
      <c r="D67" s="97">
        <f ca="1">TblMili[[#This Row],[Military]]</f>
        <v>826</v>
      </c>
      <c r="E67" s="97">
        <f ca="1">TblMili[[#This Row],[Draftees]]</f>
        <v>776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776</v>
      </c>
      <c r="M67" s="62">
        <f ca="1">TblMili[[#This Row],[Unit 1]]</f>
        <v>0</v>
      </c>
      <c r="N67" s="62">
        <f ca="1">TblMili[[#This Row],[Unit 2]]</f>
        <v>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45283.666666666511</v>
      </c>
      <c r="C68" s="97">
        <f ca="1">OFFSET(TblPop[[#This Row],[Peasants]],-1,0)+OFFSET(TblPop[[#This Row],[Net Peasant]],-1,0)+TblMili[[#This Row],[Release Draft]]</f>
        <v>1532</v>
      </c>
      <c r="D68" s="97">
        <f ca="1">TblMili[[#This Row],[Military]]</f>
        <v>826</v>
      </c>
      <c r="E68" s="97">
        <f ca="1">TblMili[[#This Row],[Draftees]]</f>
        <v>776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776</v>
      </c>
      <c r="M68" s="62">
        <f ca="1">TblMili[[#This Row],[Unit 1]]</f>
        <v>0</v>
      </c>
      <c r="N68" s="62">
        <f ca="1">TblMili[[#This Row],[Unit 2]]</f>
        <v>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45283.708333333176</v>
      </c>
      <c r="C69" s="97">
        <f ca="1">OFFSET(TblPop[[#This Row],[Peasants]],-1,0)+OFFSET(TblPop[[#This Row],[Net Peasant]],-1,0)+TblMili[[#This Row],[Release Draft]]</f>
        <v>1532</v>
      </c>
      <c r="D69" s="97">
        <f ca="1">TblMili[[#This Row],[Military]]</f>
        <v>826</v>
      </c>
      <c r="E69" s="97">
        <f ca="1">TblMili[[#This Row],[Draftees]]</f>
        <v>776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776</v>
      </c>
      <c r="M69" s="62">
        <f ca="1">TblMili[[#This Row],[Unit 1]]</f>
        <v>0</v>
      </c>
      <c r="N69" s="62">
        <f ca="1">TblMili[[#This Row],[Unit 2]]</f>
        <v>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45283.74999999984</v>
      </c>
      <c r="C70" s="97">
        <f ca="1">OFFSET(TblPop[[#This Row],[Peasants]],-1,0)+OFFSET(TblPop[[#This Row],[Net Peasant]],-1,0)+TblMili[[#This Row],[Release Draft]]</f>
        <v>1532</v>
      </c>
      <c r="D70" s="97">
        <f ca="1">TblMili[[#This Row],[Military]]</f>
        <v>826</v>
      </c>
      <c r="E70" s="97">
        <f ca="1">TblMili[[#This Row],[Draftees]]</f>
        <v>776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776</v>
      </c>
      <c r="M70" s="62">
        <f ca="1">TblMili[[#This Row],[Unit 1]]</f>
        <v>0</v>
      </c>
      <c r="N70" s="62">
        <f ca="1">TblMili[[#This Row],[Unit 2]]</f>
        <v>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45283.791666666504</v>
      </c>
      <c r="C71" s="97">
        <f ca="1">OFFSET(TblPop[[#This Row],[Peasants]],-1,0)+OFFSET(TblPop[[#This Row],[Net Peasant]],-1,0)+TblMili[[#This Row],[Release Draft]]</f>
        <v>1532</v>
      </c>
      <c r="D71" s="97">
        <f ca="1">TblMili[[#This Row],[Military]]</f>
        <v>826</v>
      </c>
      <c r="E71" s="97">
        <f ca="1">TblMili[[#This Row],[Draftees]]</f>
        <v>776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776</v>
      </c>
      <c r="M71" s="62">
        <f ca="1">TblMili[[#This Row],[Unit 1]]</f>
        <v>0</v>
      </c>
      <c r="N71" s="62">
        <f ca="1">TblMili[[#This Row],[Unit 2]]</f>
        <v>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45283.833333333168</v>
      </c>
      <c r="C72" s="97">
        <f ca="1">OFFSET(TblPop[[#This Row],[Peasants]],-1,0)+OFFSET(TblPop[[#This Row],[Net Peasant]],-1,0)+TblMili[[#This Row],[Release Draft]]</f>
        <v>1532</v>
      </c>
      <c r="D72" s="97">
        <f ca="1">TblMili[[#This Row],[Military]]</f>
        <v>826</v>
      </c>
      <c r="E72" s="97">
        <f ca="1">TblMili[[#This Row],[Draftees]]</f>
        <v>776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776</v>
      </c>
      <c r="M72" s="62">
        <f ca="1">TblMili[[#This Row],[Unit 1]]</f>
        <v>0</v>
      </c>
      <c r="N72" s="62">
        <f ca="1">TblMili[[#This Row],[Unit 2]]</f>
        <v>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45283.874999999833</v>
      </c>
      <c r="C73" s="97">
        <f ca="1">OFFSET(TblPop[[#This Row],[Peasants]],-1,0)+OFFSET(TblPop[[#This Row],[Net Peasant]],-1,0)+TblMili[[#This Row],[Release Draft]]</f>
        <v>1532</v>
      </c>
      <c r="D73" s="97">
        <f ca="1">TblMili[[#This Row],[Military]]</f>
        <v>826</v>
      </c>
      <c r="E73" s="97">
        <f ca="1">TblMili[[#This Row],[Draftees]]</f>
        <v>776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776</v>
      </c>
      <c r="M73" s="62">
        <f ca="1">TblMili[[#This Row],[Unit 1]]</f>
        <v>0</v>
      </c>
      <c r="N73" s="62">
        <f ca="1">TblMili[[#This Row],[Unit 2]]</f>
        <v>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45283.916666666497</v>
      </c>
      <c r="C74" s="97">
        <f ca="1">OFFSET(TblPop[[#This Row],[Peasants]],-1,0)+OFFSET(TblPop[[#This Row],[Net Peasant]],-1,0)+TblMili[[#This Row],[Release Draft]]</f>
        <v>1532</v>
      </c>
      <c r="D74" s="97">
        <f ca="1">TblMili[[#This Row],[Military]]</f>
        <v>826</v>
      </c>
      <c r="E74" s="97">
        <f ca="1">TblMili[[#This Row],[Draftees]]</f>
        <v>776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776</v>
      </c>
      <c r="M74" s="62">
        <f ca="1">TblMili[[#This Row],[Unit 1]]</f>
        <v>0</v>
      </c>
      <c r="N74" s="62">
        <f ca="1">TblMili[[#This Row],[Unit 2]]</f>
        <v>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45283.958333333161</v>
      </c>
      <c r="C75" s="97">
        <f ca="1">OFFSET(TblPop[[#This Row],[Peasants]],-1,0)+OFFSET(TblPop[[#This Row],[Net Peasant]],-1,0)+TblMili[[#This Row],[Release Draft]]</f>
        <v>1532</v>
      </c>
      <c r="D75" s="97">
        <f ca="1">TblMili[[#This Row],[Military]]</f>
        <v>826</v>
      </c>
      <c r="E75" s="97">
        <f ca="1">TblMili[[#This Row],[Draftees]]</f>
        <v>776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776</v>
      </c>
      <c r="M75" s="62">
        <f ca="1">TblMili[[#This Row],[Unit 1]]</f>
        <v>0</v>
      </c>
      <c r="N75" s="62">
        <f ca="1">TblMili[[#This Row],[Unit 2]]</f>
        <v>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45283.999999999825</v>
      </c>
      <c r="C76" s="35">
        <f ca="1">OFFSET(TblPop[[#This Row],[Peasants]],-1,0)+OFFSET(TblPop[[#This Row],[Net Peasant]],-1,0)+TblMili[[#This Row],[Release Draft]]</f>
        <v>1532</v>
      </c>
      <c r="D76" s="35">
        <f ca="1">TblMili[[#This Row],[Military]]</f>
        <v>826</v>
      </c>
      <c r="E76" s="35">
        <f ca="1">TblMili[[#This Row],[Draftees]]</f>
        <v>776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776</v>
      </c>
      <c r="M76" s="151">
        <f ca="1">TblMili[[#This Row],[Unit 1]]</f>
        <v>0</v>
      </c>
      <c r="N76" s="151">
        <f ca="1">TblMili[[#This Row],[Unit 2]]</f>
        <v>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45284.04166666649</v>
      </c>
      <c r="C77" s="97">
        <f ca="1">OFFSET(TblPop[[#This Row],[Peasants]],-1,0)+OFFSET(TblPop[[#This Row],[Net Peasant]],-1,0)+TblMili[[#This Row],[Release Draft]]</f>
        <v>1532</v>
      </c>
      <c r="D77" s="97">
        <f ca="1">TblMili[[#This Row],[Military]]</f>
        <v>826</v>
      </c>
      <c r="E77" s="97">
        <f ca="1">TblMili[[#This Row],[Draftees]]</f>
        <v>776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776</v>
      </c>
      <c r="M77" s="62">
        <f ca="1">TblMili[[#This Row],[Unit 1]]</f>
        <v>0</v>
      </c>
      <c r="N77" s="62">
        <f ca="1">TblMili[[#This Row],[Unit 2]]</f>
        <v>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45284.083333333154</v>
      </c>
      <c r="C78" s="97">
        <f ca="1">OFFSET(TblPop[[#This Row],[Peasants]],-1,0)+OFFSET(TblPop[[#This Row],[Net Peasant]],-1,0)+TblMili[[#This Row],[Release Draft]]</f>
        <v>1532</v>
      </c>
      <c r="D78" s="97">
        <f ca="1">TblMili[[#This Row],[Military]]</f>
        <v>826</v>
      </c>
      <c r="E78" s="97">
        <f ca="1">TblMili[[#This Row],[Draftees]]</f>
        <v>776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776</v>
      </c>
      <c r="M78" s="62">
        <f ca="1">TblMili[[#This Row],[Unit 1]]</f>
        <v>0</v>
      </c>
      <c r="N78" s="62">
        <f ca="1">TblMili[[#This Row],[Unit 2]]</f>
        <v>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45284.124999999818</v>
      </c>
      <c r="C79" s="97">
        <f ca="1">OFFSET(TblPop[[#This Row],[Peasants]],-1,0)+OFFSET(TblPop[[#This Row],[Net Peasant]],-1,0)+TblMili[[#This Row],[Release Draft]]</f>
        <v>1532</v>
      </c>
      <c r="D79" s="97">
        <f ca="1">TblMili[[#This Row],[Military]]</f>
        <v>826</v>
      </c>
      <c r="E79" s="97">
        <f ca="1">TblMili[[#This Row],[Draftees]]</f>
        <v>776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776</v>
      </c>
      <c r="M79" s="62">
        <f ca="1">TblMili[[#This Row],[Unit 1]]</f>
        <v>0</v>
      </c>
      <c r="N79" s="62">
        <f ca="1">TblMili[[#This Row],[Unit 2]]</f>
        <v>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45284.166666666482</v>
      </c>
      <c r="C80" s="97">
        <f ca="1">OFFSET(TblPop[[#This Row],[Peasants]],-1,0)+OFFSET(TblPop[[#This Row],[Net Peasant]],-1,0)+TblMili[[#This Row],[Release Draft]]</f>
        <v>1532</v>
      </c>
      <c r="D80" s="97">
        <f ca="1">TblMili[[#This Row],[Military]]</f>
        <v>826</v>
      </c>
      <c r="E80" s="97">
        <f ca="1">TblMili[[#This Row],[Draftees]]</f>
        <v>776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776</v>
      </c>
      <c r="M80" s="62">
        <f ca="1">TblMili[[#This Row],[Unit 1]]</f>
        <v>0</v>
      </c>
      <c r="N80" s="62">
        <f ca="1">TblMili[[#This Row],[Unit 2]]</f>
        <v>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45284.208333333147</v>
      </c>
      <c r="C81" s="97">
        <f ca="1">OFFSET(TblPop[[#This Row],[Peasants]],-1,0)+OFFSET(TblPop[[#This Row],[Net Peasant]],-1,0)+TblMili[[#This Row],[Release Draft]]</f>
        <v>1532</v>
      </c>
      <c r="D81" s="97">
        <f ca="1">TblMili[[#This Row],[Military]]</f>
        <v>826</v>
      </c>
      <c r="E81" s="97">
        <f ca="1">TblMili[[#This Row],[Draftees]]</f>
        <v>776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776</v>
      </c>
      <c r="M81" s="62">
        <f ca="1">TblMili[[#This Row],[Unit 1]]</f>
        <v>0</v>
      </c>
      <c r="N81" s="62">
        <f ca="1">TblMili[[#This Row],[Unit 2]]</f>
        <v>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45284.249999999811</v>
      </c>
      <c r="C82" s="97">
        <f ca="1">OFFSET(TblPop[[#This Row],[Peasants]],-1,0)+OFFSET(TblPop[[#This Row],[Net Peasant]],-1,0)+TblMili[[#This Row],[Release Draft]]</f>
        <v>1532</v>
      </c>
      <c r="D82" s="97">
        <f ca="1">TblMili[[#This Row],[Military]]</f>
        <v>826</v>
      </c>
      <c r="E82" s="97">
        <f ca="1">TblMili[[#This Row],[Draftees]]</f>
        <v>776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776</v>
      </c>
      <c r="M82" s="62">
        <f ca="1">TblMili[[#This Row],[Unit 1]]</f>
        <v>0</v>
      </c>
      <c r="N82" s="62">
        <f ca="1">TblMili[[#This Row],[Unit 2]]</f>
        <v>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45284.291666666475</v>
      </c>
      <c r="C83" s="97">
        <f ca="1">OFFSET(TblPop[[#This Row],[Peasants]],-1,0)+OFFSET(TblPop[[#This Row],[Net Peasant]],-1,0)+TblMili[[#This Row],[Release Draft]]</f>
        <v>1532</v>
      </c>
      <c r="D83" s="97">
        <f ca="1">TblMili[[#This Row],[Military]]</f>
        <v>826</v>
      </c>
      <c r="E83" s="97">
        <f ca="1">TblMili[[#This Row],[Draftees]]</f>
        <v>776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776</v>
      </c>
      <c r="M83" s="62">
        <f ca="1">TblMili[[#This Row],[Unit 1]]</f>
        <v>0</v>
      </c>
      <c r="N83" s="62">
        <f ca="1">TblMili[[#This Row],[Unit 2]]</f>
        <v>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45284.333333333139</v>
      </c>
      <c r="C84" s="97">
        <f ca="1">OFFSET(TblPop[[#This Row],[Peasants]],-1,0)+OFFSET(TblPop[[#This Row],[Net Peasant]],-1,0)+TblMili[[#This Row],[Release Draft]]</f>
        <v>1532</v>
      </c>
      <c r="D84" s="97">
        <f ca="1">TblMili[[#This Row],[Military]]</f>
        <v>826</v>
      </c>
      <c r="E84" s="97">
        <f ca="1">TblMili[[#This Row],[Draftees]]</f>
        <v>776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776</v>
      </c>
      <c r="M84" s="62">
        <f ca="1">TblMili[[#This Row],[Unit 1]]</f>
        <v>0</v>
      </c>
      <c r="N84" s="62">
        <f ca="1">TblMili[[#This Row],[Unit 2]]</f>
        <v>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45284.374999999804</v>
      </c>
      <c r="C85" s="97">
        <f ca="1">OFFSET(TblPop[[#This Row],[Peasants]],-1,0)+OFFSET(TblPop[[#This Row],[Net Peasant]],-1,0)+TblMili[[#This Row],[Release Draft]]</f>
        <v>1532</v>
      </c>
      <c r="D85" s="97">
        <f ca="1">TblMili[[#This Row],[Military]]</f>
        <v>826</v>
      </c>
      <c r="E85" s="97">
        <f ca="1">TblMili[[#This Row],[Draftees]]</f>
        <v>776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776</v>
      </c>
      <c r="M85" s="62">
        <f ca="1">TblMili[[#This Row],[Unit 1]]</f>
        <v>0</v>
      </c>
      <c r="N85" s="62">
        <f ca="1">TblMili[[#This Row],[Unit 2]]</f>
        <v>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45284.416666666468</v>
      </c>
      <c r="C86" s="97">
        <f ca="1">OFFSET(TblPop[[#This Row],[Peasants]],-1,0)+OFFSET(TblPop[[#This Row],[Net Peasant]],-1,0)+TblMili[[#This Row],[Release Draft]]</f>
        <v>1532</v>
      </c>
      <c r="D86" s="97">
        <f ca="1">TblMili[[#This Row],[Military]]</f>
        <v>826</v>
      </c>
      <c r="E86" s="97">
        <f ca="1">TblMili[[#This Row],[Draftees]]</f>
        <v>776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776</v>
      </c>
      <c r="M86" s="62">
        <f ca="1">TblMili[[#This Row],[Unit 1]]</f>
        <v>0</v>
      </c>
      <c r="N86" s="62">
        <f ca="1">TblMili[[#This Row],[Unit 2]]</f>
        <v>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45284.458333333132</v>
      </c>
      <c r="C87" s="97">
        <f ca="1">OFFSET(TblPop[[#This Row],[Peasants]],-1,0)+OFFSET(TblPop[[#This Row],[Net Peasant]],-1,0)+TblMili[[#This Row],[Release Draft]]</f>
        <v>1532</v>
      </c>
      <c r="D87" s="97">
        <f ca="1">TblMili[[#This Row],[Military]]</f>
        <v>826</v>
      </c>
      <c r="E87" s="97">
        <f ca="1">TblMili[[#This Row],[Draftees]]</f>
        <v>776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776</v>
      </c>
      <c r="M87" s="62">
        <f ca="1">TblMili[[#This Row],[Unit 1]]</f>
        <v>0</v>
      </c>
      <c r="N87" s="62">
        <f ca="1">TblMili[[#This Row],[Unit 2]]</f>
        <v>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45284.499999999796</v>
      </c>
      <c r="C88" s="97">
        <f ca="1">OFFSET(TblPop[[#This Row],[Peasants]],-1,0)+OFFSET(TblPop[[#This Row],[Net Peasant]],-1,0)+TblMili[[#This Row],[Release Draft]]</f>
        <v>1532</v>
      </c>
      <c r="D88" s="97">
        <f ca="1">TblMili[[#This Row],[Military]]</f>
        <v>826</v>
      </c>
      <c r="E88" s="97">
        <f ca="1">TblMili[[#This Row],[Draftees]]</f>
        <v>776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776</v>
      </c>
      <c r="M88" s="62">
        <f ca="1">TblMili[[#This Row],[Unit 1]]</f>
        <v>0</v>
      </c>
      <c r="N88" s="62">
        <f ca="1">TblMili[[#This Row],[Unit 2]]</f>
        <v>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45284.541666666461</v>
      </c>
      <c r="C89" s="97">
        <f ca="1">OFFSET(TblPop[[#This Row],[Peasants]],-1,0)+OFFSET(TblPop[[#This Row],[Net Peasant]],-1,0)+TblMili[[#This Row],[Release Draft]]</f>
        <v>1532</v>
      </c>
      <c r="D89" s="97">
        <f ca="1">TblMili[[#This Row],[Military]]</f>
        <v>826</v>
      </c>
      <c r="E89" s="97">
        <f ca="1">TblMili[[#This Row],[Draftees]]</f>
        <v>776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776</v>
      </c>
      <c r="M89" s="62">
        <f ca="1">TblMili[[#This Row],[Unit 1]]</f>
        <v>0</v>
      </c>
      <c r="N89" s="62">
        <f ca="1">TblMili[[#This Row],[Unit 2]]</f>
        <v>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45284.583333333125</v>
      </c>
      <c r="C90" s="97">
        <f ca="1">OFFSET(TblPop[[#This Row],[Peasants]],-1,0)+OFFSET(TblPop[[#This Row],[Net Peasant]],-1,0)+TblMili[[#This Row],[Release Draft]]</f>
        <v>1532</v>
      </c>
      <c r="D90" s="97">
        <f ca="1">TblMili[[#This Row],[Military]]</f>
        <v>826</v>
      </c>
      <c r="E90" s="97">
        <f ca="1">TblMili[[#This Row],[Draftees]]</f>
        <v>776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776</v>
      </c>
      <c r="M90" s="62">
        <f ca="1">TblMili[[#This Row],[Unit 1]]</f>
        <v>0</v>
      </c>
      <c r="N90" s="62">
        <f ca="1">TblMili[[#This Row],[Unit 2]]</f>
        <v>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45284.624999999789</v>
      </c>
      <c r="C91" s="97">
        <f ca="1">OFFSET(TblPop[[#This Row],[Peasants]],-1,0)+OFFSET(TblPop[[#This Row],[Net Peasant]],-1,0)+TblMili[[#This Row],[Release Draft]]</f>
        <v>1532</v>
      </c>
      <c r="D91" s="97">
        <f ca="1">TblMili[[#This Row],[Military]]</f>
        <v>826</v>
      </c>
      <c r="E91" s="97">
        <f ca="1">TblMili[[#This Row],[Draftees]]</f>
        <v>776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776</v>
      </c>
      <c r="M91" s="62">
        <f ca="1">TblMili[[#This Row],[Unit 1]]</f>
        <v>0</v>
      </c>
      <c r="N91" s="62">
        <f ca="1">TblMili[[#This Row],[Unit 2]]</f>
        <v>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45284.666666666453</v>
      </c>
      <c r="C92" s="97">
        <f ca="1">OFFSET(TblPop[[#This Row],[Peasants]],-1,0)+OFFSET(TblPop[[#This Row],[Net Peasant]],-1,0)+TblMili[[#This Row],[Release Draft]]</f>
        <v>1532</v>
      </c>
      <c r="D92" s="97">
        <f ca="1">TblMili[[#This Row],[Military]]</f>
        <v>826</v>
      </c>
      <c r="E92" s="97">
        <f ca="1">TblMili[[#This Row],[Draftees]]</f>
        <v>776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776</v>
      </c>
      <c r="M92" s="62">
        <f ca="1">TblMili[[#This Row],[Unit 1]]</f>
        <v>0</v>
      </c>
      <c r="N92" s="62">
        <f ca="1">TblMili[[#This Row],[Unit 2]]</f>
        <v>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45284.708333333117</v>
      </c>
      <c r="C93" s="97">
        <f ca="1">OFFSET(TblPop[[#This Row],[Peasants]],-1,0)+OFFSET(TblPop[[#This Row],[Net Peasant]],-1,0)+TblMili[[#This Row],[Release Draft]]</f>
        <v>1532</v>
      </c>
      <c r="D93" s="97">
        <f ca="1">TblMili[[#This Row],[Military]]</f>
        <v>826</v>
      </c>
      <c r="E93" s="97">
        <f ca="1">TblMili[[#This Row],[Draftees]]</f>
        <v>776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776</v>
      </c>
      <c r="M93" s="62">
        <f ca="1">TblMili[[#This Row],[Unit 1]]</f>
        <v>0</v>
      </c>
      <c r="N93" s="62">
        <f ca="1">TblMili[[#This Row],[Unit 2]]</f>
        <v>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45284.749999999782</v>
      </c>
      <c r="C94" s="97">
        <f ca="1">OFFSET(TblPop[[#This Row],[Peasants]],-1,0)+OFFSET(TblPop[[#This Row],[Net Peasant]],-1,0)+TblMili[[#This Row],[Release Draft]]</f>
        <v>1532</v>
      </c>
      <c r="D94" s="97">
        <f ca="1">TblMili[[#This Row],[Military]]</f>
        <v>826</v>
      </c>
      <c r="E94" s="97">
        <f ca="1">TblMili[[#This Row],[Draftees]]</f>
        <v>776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776</v>
      </c>
      <c r="M94" s="62">
        <f ca="1">TblMili[[#This Row],[Unit 1]]</f>
        <v>0</v>
      </c>
      <c r="N94" s="62">
        <f ca="1">TblMili[[#This Row],[Unit 2]]</f>
        <v>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45284.791666666446</v>
      </c>
      <c r="C95" s="97">
        <f ca="1">OFFSET(TblPop[[#This Row],[Peasants]],-1,0)+OFFSET(TblPop[[#This Row],[Net Peasant]],-1,0)+TblMili[[#This Row],[Release Draft]]</f>
        <v>1532</v>
      </c>
      <c r="D95" s="97">
        <f ca="1">TblMili[[#This Row],[Military]]</f>
        <v>826</v>
      </c>
      <c r="E95" s="97">
        <f ca="1">TblMili[[#This Row],[Draftees]]</f>
        <v>776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776</v>
      </c>
      <c r="M95" s="62">
        <f ca="1">TblMili[[#This Row],[Unit 1]]</f>
        <v>0</v>
      </c>
      <c r="N95" s="62">
        <f ca="1">TblMili[[#This Row],[Unit 2]]</f>
        <v>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45284.83333333311</v>
      </c>
      <c r="C96" s="97">
        <f ca="1">OFFSET(TblPop[[#This Row],[Peasants]],-1,0)+OFFSET(TblPop[[#This Row],[Net Peasant]],-1,0)+TblMili[[#This Row],[Release Draft]]</f>
        <v>1532</v>
      </c>
      <c r="D96" s="97">
        <f ca="1">TblMili[[#This Row],[Military]]</f>
        <v>826</v>
      </c>
      <c r="E96" s="97">
        <f ca="1">TblMili[[#This Row],[Draftees]]</f>
        <v>776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776</v>
      </c>
      <c r="M96" s="62">
        <f ca="1">TblMili[[#This Row],[Unit 1]]</f>
        <v>0</v>
      </c>
      <c r="N96" s="62">
        <f ca="1">TblMili[[#This Row],[Unit 2]]</f>
        <v>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45284.874999999774</v>
      </c>
      <c r="C97" s="97">
        <f ca="1">OFFSET(TblPop[[#This Row],[Peasants]],-1,0)+OFFSET(TblPop[[#This Row],[Net Peasant]],-1,0)+TblMili[[#This Row],[Release Draft]]</f>
        <v>1532</v>
      </c>
      <c r="D97" s="97">
        <f ca="1">TblMili[[#This Row],[Military]]</f>
        <v>826</v>
      </c>
      <c r="E97" s="97">
        <f ca="1">TblMili[[#This Row],[Draftees]]</f>
        <v>776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776</v>
      </c>
      <c r="M97" s="62">
        <f ca="1">TblMili[[#This Row],[Unit 1]]</f>
        <v>0</v>
      </c>
      <c r="N97" s="62">
        <f ca="1">TblMili[[#This Row],[Unit 2]]</f>
        <v>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45284.916666666439</v>
      </c>
      <c r="C98" s="97">
        <f ca="1">OFFSET(TblPop[[#This Row],[Peasants]],-1,0)+OFFSET(TblPop[[#This Row],[Net Peasant]],-1,0)+TblMili[[#This Row],[Release Draft]]</f>
        <v>1532</v>
      </c>
      <c r="D98" s="97">
        <f ca="1">TblMili[[#This Row],[Military]]</f>
        <v>826</v>
      </c>
      <c r="E98" s="97">
        <f ca="1">TblMili[[#This Row],[Draftees]]</f>
        <v>776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776</v>
      </c>
      <c r="M98" s="62">
        <f ca="1">TblMili[[#This Row],[Unit 1]]</f>
        <v>0</v>
      </c>
      <c r="N98" s="62">
        <f ca="1">TblMili[[#This Row],[Unit 2]]</f>
        <v>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45284.958333333103</v>
      </c>
      <c r="C99" s="97">
        <f ca="1">OFFSET(TblPop[[#This Row],[Peasants]],-1,0)+OFFSET(TblPop[[#This Row],[Net Peasant]],-1,0)+TblMili[[#This Row],[Release Draft]]</f>
        <v>1532</v>
      </c>
      <c r="D99" s="97">
        <f ca="1">TblMili[[#This Row],[Military]]</f>
        <v>826</v>
      </c>
      <c r="E99" s="97">
        <f ca="1">TblMili[[#This Row],[Draftees]]</f>
        <v>776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776</v>
      </c>
      <c r="M99" s="62">
        <f ca="1">TblMili[[#This Row],[Unit 1]]</f>
        <v>0</v>
      </c>
      <c r="N99" s="62">
        <f ca="1">TblMili[[#This Row],[Unit 2]]</f>
        <v>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45284.999999999767</v>
      </c>
      <c r="C100" s="97">
        <f ca="1">OFFSET(TblPop[[#This Row],[Peasants]],-1,0)+OFFSET(TblPop[[#This Row],[Net Peasant]],-1,0)+TblMili[[#This Row],[Release Draft]]</f>
        <v>1532</v>
      </c>
      <c r="D100" s="97">
        <f ca="1">TblMili[[#This Row],[Military]]</f>
        <v>826</v>
      </c>
      <c r="E100" s="97">
        <f ca="1">TblMili[[#This Row],[Draftees]]</f>
        <v>776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776</v>
      </c>
      <c r="M100" s="62">
        <f ca="1">TblMili[[#This Row],[Unit 1]]</f>
        <v>0</v>
      </c>
      <c r="N100" s="62">
        <f ca="1">TblMili[[#This Row],[Unit 2]]</f>
        <v>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45285.041666666431</v>
      </c>
      <c r="C101" s="97">
        <f ca="1">OFFSET(TblPop[[#This Row],[Peasants]],-1,0)+OFFSET(TblPop[[#This Row],[Net Peasant]],-1,0)+TblMili[[#This Row],[Release Draft]]</f>
        <v>1532</v>
      </c>
      <c r="D101" s="97">
        <f ca="1">TblMili[[#This Row],[Military]]</f>
        <v>826</v>
      </c>
      <c r="E101" s="97">
        <f ca="1">TblMili[[#This Row],[Draftees]]</f>
        <v>776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776</v>
      </c>
      <c r="M101" s="62">
        <f ca="1">TblMili[[#This Row],[Unit 1]]</f>
        <v>0</v>
      </c>
      <c r="N101" s="62">
        <f ca="1">TblMili[[#This Row],[Unit 2]]</f>
        <v>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45285.083333333096</v>
      </c>
      <c r="C102" s="97">
        <f ca="1">OFFSET(TblPop[[#This Row],[Peasants]],-1,0)+OFFSET(TblPop[[#This Row],[Net Peasant]],-1,0)+TblMili[[#This Row],[Release Draft]]</f>
        <v>1532</v>
      </c>
      <c r="D102" s="97">
        <f ca="1">TblMili[[#This Row],[Military]]</f>
        <v>826</v>
      </c>
      <c r="E102" s="97">
        <f ca="1">TblMili[[#This Row],[Draftees]]</f>
        <v>776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776</v>
      </c>
      <c r="M102" s="62">
        <f ca="1">TblMili[[#This Row],[Unit 1]]</f>
        <v>0</v>
      </c>
      <c r="N102" s="62">
        <f ca="1">TblMili[[#This Row],[Unit 2]]</f>
        <v>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45285.12499999976</v>
      </c>
      <c r="C103" s="97">
        <f ca="1">OFFSET(TblPop[[#This Row],[Peasants]],-1,0)+OFFSET(TblPop[[#This Row],[Net Peasant]],-1,0)+TblMili[[#This Row],[Release Draft]]</f>
        <v>1532</v>
      </c>
      <c r="D103" s="97">
        <f ca="1">TblMili[[#This Row],[Military]]</f>
        <v>826</v>
      </c>
      <c r="E103" s="97">
        <f ca="1">TblMili[[#This Row],[Draftees]]</f>
        <v>776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776</v>
      </c>
      <c r="M103" s="62">
        <f ca="1">TblMili[[#This Row],[Unit 1]]</f>
        <v>0</v>
      </c>
      <c r="N103" s="62">
        <f ca="1">TblMili[[#This Row],[Unit 2]]</f>
        <v>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45285.166666666424</v>
      </c>
      <c r="C104" s="97">
        <f ca="1">OFFSET(TblPop[[#This Row],[Peasants]],-1,0)+OFFSET(TblPop[[#This Row],[Net Peasant]],-1,0)+TblMili[[#This Row],[Release Draft]]</f>
        <v>1532</v>
      </c>
      <c r="D104" s="97">
        <f ca="1">TblMili[[#This Row],[Military]]</f>
        <v>826</v>
      </c>
      <c r="E104" s="97">
        <f ca="1">TblMili[[#This Row],[Draftees]]</f>
        <v>776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776</v>
      </c>
      <c r="M104" s="62">
        <f ca="1">TblMili[[#This Row],[Unit 1]]</f>
        <v>0</v>
      </c>
      <c r="N104" s="62">
        <f ca="1">TblMili[[#This Row],[Unit 2]]</f>
        <v>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45285.208333333088</v>
      </c>
      <c r="C105" s="97">
        <f ca="1">OFFSET(TblPop[[#This Row],[Peasants]],-1,0)+OFFSET(TblPop[[#This Row],[Net Peasant]],-1,0)+TblMili[[#This Row],[Release Draft]]</f>
        <v>1532</v>
      </c>
      <c r="D105" s="97">
        <f ca="1">TblMili[[#This Row],[Military]]</f>
        <v>826</v>
      </c>
      <c r="E105" s="97">
        <f ca="1">TblMili[[#This Row],[Draftees]]</f>
        <v>776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776</v>
      </c>
      <c r="M105" s="62">
        <f ca="1">TblMili[[#This Row],[Unit 1]]</f>
        <v>0</v>
      </c>
      <c r="N105" s="62">
        <f ca="1">TblMili[[#This Row],[Unit 2]]</f>
        <v>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45285.249999999753</v>
      </c>
      <c r="C106" s="97">
        <f ca="1">OFFSET(TblPop[[#This Row],[Peasants]],-1,0)+OFFSET(TblPop[[#This Row],[Net Peasant]],-1,0)+TblMili[[#This Row],[Release Draft]]</f>
        <v>1532</v>
      </c>
      <c r="D106" s="97">
        <f ca="1">TblMili[[#This Row],[Military]]</f>
        <v>826</v>
      </c>
      <c r="E106" s="97">
        <f ca="1">TblMili[[#This Row],[Draftees]]</f>
        <v>776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776</v>
      </c>
      <c r="M106" s="62">
        <f ca="1">TblMili[[#This Row],[Unit 1]]</f>
        <v>0</v>
      </c>
      <c r="N106" s="62">
        <f ca="1">TblMili[[#This Row],[Unit 2]]</f>
        <v>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45285.291666666417</v>
      </c>
      <c r="C107" s="97">
        <f ca="1">OFFSET(TblPop[[#This Row],[Peasants]],-1,0)+OFFSET(TblPop[[#This Row],[Net Peasant]],-1,0)+TblMili[[#This Row],[Release Draft]]</f>
        <v>1532</v>
      </c>
      <c r="D107" s="97">
        <f ca="1">TblMili[[#This Row],[Military]]</f>
        <v>826</v>
      </c>
      <c r="E107" s="97">
        <f ca="1">TblMili[[#This Row],[Draftees]]</f>
        <v>776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776</v>
      </c>
      <c r="M107" s="62">
        <f ca="1">TblMili[[#This Row],[Unit 1]]</f>
        <v>0</v>
      </c>
      <c r="N107" s="62">
        <f ca="1">TblMili[[#This Row],[Unit 2]]</f>
        <v>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45285.333333333081</v>
      </c>
      <c r="C108" s="97">
        <f ca="1">OFFSET(TblPop[[#This Row],[Peasants]],-1,0)+OFFSET(TblPop[[#This Row],[Net Peasant]],-1,0)+TblMili[[#This Row],[Release Draft]]</f>
        <v>1532</v>
      </c>
      <c r="D108" s="97">
        <f ca="1">TblMili[[#This Row],[Military]]</f>
        <v>826</v>
      </c>
      <c r="E108" s="97">
        <f ca="1">TblMili[[#This Row],[Draftees]]</f>
        <v>776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776</v>
      </c>
      <c r="M108" s="62">
        <f ca="1">TblMili[[#This Row],[Unit 1]]</f>
        <v>0</v>
      </c>
      <c r="N108" s="62">
        <f ca="1">TblMili[[#This Row],[Unit 2]]</f>
        <v>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45285.374999999745</v>
      </c>
      <c r="C109" s="97">
        <f ca="1">OFFSET(TblPop[[#This Row],[Peasants]],-1,0)+OFFSET(TblPop[[#This Row],[Net Peasant]],-1,0)+TblMili[[#This Row],[Release Draft]]</f>
        <v>1532</v>
      </c>
      <c r="D109" s="97">
        <f ca="1">TblMili[[#This Row],[Military]]</f>
        <v>826</v>
      </c>
      <c r="E109" s="97">
        <f ca="1">TblMili[[#This Row],[Draftees]]</f>
        <v>776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776</v>
      </c>
      <c r="M109" s="62">
        <f ca="1">TblMili[[#This Row],[Unit 1]]</f>
        <v>0</v>
      </c>
      <c r="N109" s="62">
        <f ca="1">TblMili[[#This Row],[Unit 2]]</f>
        <v>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45285.41666666641</v>
      </c>
      <c r="C110" s="97">
        <f ca="1">OFFSET(TblPop[[#This Row],[Peasants]],-1,0)+OFFSET(TblPop[[#This Row],[Net Peasant]],-1,0)+TblMili[[#This Row],[Release Draft]]</f>
        <v>1532</v>
      </c>
      <c r="D110" s="97">
        <f ca="1">TblMili[[#This Row],[Military]]</f>
        <v>826</v>
      </c>
      <c r="E110" s="97">
        <f ca="1">TblMili[[#This Row],[Draftees]]</f>
        <v>776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776</v>
      </c>
      <c r="M110" s="62">
        <f ca="1">TblMili[[#This Row],[Unit 1]]</f>
        <v>0</v>
      </c>
      <c r="N110" s="62">
        <f ca="1">TblMili[[#This Row],[Unit 2]]</f>
        <v>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45285.458333333074</v>
      </c>
      <c r="C111" s="97">
        <f ca="1">OFFSET(TblPop[[#This Row],[Peasants]],-1,0)+OFFSET(TblPop[[#This Row],[Net Peasant]],-1,0)+TblMili[[#This Row],[Release Draft]]</f>
        <v>1532</v>
      </c>
      <c r="D111" s="97">
        <f ca="1">TblMili[[#This Row],[Military]]</f>
        <v>826</v>
      </c>
      <c r="E111" s="97">
        <f ca="1">TblMili[[#This Row],[Draftees]]</f>
        <v>776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776</v>
      </c>
      <c r="M111" s="62">
        <f ca="1">TblMili[[#This Row],[Unit 1]]</f>
        <v>0</v>
      </c>
      <c r="N111" s="62">
        <f ca="1">TblMili[[#This Row],[Unit 2]]</f>
        <v>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45285.499999999738</v>
      </c>
      <c r="C112" s="97">
        <f ca="1">OFFSET(TblPop[[#This Row],[Peasants]],-1,0)+OFFSET(TblPop[[#This Row],[Net Peasant]],-1,0)+TblMili[[#This Row],[Release Draft]]</f>
        <v>1532</v>
      </c>
      <c r="D112" s="97">
        <f ca="1">TblMili[[#This Row],[Military]]</f>
        <v>826</v>
      </c>
      <c r="E112" s="97">
        <f ca="1">TblMili[[#This Row],[Draftees]]</f>
        <v>776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776</v>
      </c>
      <c r="M112" s="62">
        <f ca="1">TblMili[[#This Row],[Unit 1]]</f>
        <v>0</v>
      </c>
      <c r="N112" s="62">
        <f ca="1">TblMili[[#This Row],[Unit 2]]</f>
        <v>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45285.541666666402</v>
      </c>
      <c r="C113" s="97">
        <f ca="1">OFFSET(TblPop[[#This Row],[Peasants]],-1,0)+OFFSET(TblPop[[#This Row],[Net Peasant]],-1,0)+TblMili[[#This Row],[Release Draft]]</f>
        <v>1532</v>
      </c>
      <c r="D113" s="97">
        <f ca="1">TblMili[[#This Row],[Military]]</f>
        <v>826</v>
      </c>
      <c r="E113" s="97">
        <f ca="1">TblMili[[#This Row],[Draftees]]</f>
        <v>776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776</v>
      </c>
      <c r="M113" s="62">
        <f ca="1">TblMili[[#This Row],[Unit 1]]</f>
        <v>0</v>
      </c>
      <c r="N113" s="62">
        <f ca="1">TblMili[[#This Row],[Unit 2]]</f>
        <v>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45285.583333333067</v>
      </c>
      <c r="C114" s="97">
        <f ca="1">OFFSET(TblPop[[#This Row],[Peasants]],-1,0)+OFFSET(TblPop[[#This Row],[Net Peasant]],-1,0)+TblMili[[#This Row],[Release Draft]]</f>
        <v>1532</v>
      </c>
      <c r="D114" s="97">
        <f ca="1">TblMili[[#This Row],[Military]]</f>
        <v>826</v>
      </c>
      <c r="E114" s="97">
        <f ca="1">TblMili[[#This Row],[Draftees]]</f>
        <v>776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776</v>
      </c>
      <c r="M114" s="62">
        <f ca="1">TblMili[[#This Row],[Unit 1]]</f>
        <v>0</v>
      </c>
      <c r="N114" s="62">
        <f ca="1">TblMili[[#This Row],[Unit 2]]</f>
        <v>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45285.624999999731</v>
      </c>
      <c r="C115" s="97">
        <f ca="1">OFFSET(TblPop[[#This Row],[Peasants]],-1,0)+OFFSET(TblPop[[#This Row],[Net Peasant]],-1,0)+TblMili[[#This Row],[Release Draft]]</f>
        <v>1532</v>
      </c>
      <c r="D115" s="97">
        <f ca="1">TblMili[[#This Row],[Military]]</f>
        <v>826</v>
      </c>
      <c r="E115" s="97">
        <f ca="1">TblMili[[#This Row],[Draftees]]</f>
        <v>776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776</v>
      </c>
      <c r="M115" s="62">
        <f ca="1">TblMili[[#This Row],[Unit 1]]</f>
        <v>0</v>
      </c>
      <c r="N115" s="62">
        <f ca="1">TblMili[[#This Row],[Unit 2]]</f>
        <v>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45285.666666666395</v>
      </c>
      <c r="C116" s="97">
        <f ca="1">OFFSET(TblPop[[#This Row],[Peasants]],-1,0)+OFFSET(TblPop[[#This Row],[Net Peasant]],-1,0)+TblMili[[#This Row],[Release Draft]]</f>
        <v>1532</v>
      </c>
      <c r="D116" s="97">
        <f ca="1">TblMili[[#This Row],[Military]]</f>
        <v>826</v>
      </c>
      <c r="E116" s="97">
        <f ca="1">TblMili[[#This Row],[Draftees]]</f>
        <v>776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776</v>
      </c>
      <c r="M116" s="62">
        <f ca="1">TblMili[[#This Row],[Unit 1]]</f>
        <v>0</v>
      </c>
      <c r="N116" s="62">
        <f ca="1">TblMili[[#This Row],[Unit 2]]</f>
        <v>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45285.708333333059</v>
      </c>
      <c r="C117" s="97">
        <f ca="1">OFFSET(TblPop[[#This Row],[Peasants]],-1,0)+OFFSET(TblPop[[#This Row],[Net Peasant]],-1,0)+TblMili[[#This Row],[Release Draft]]</f>
        <v>1532</v>
      </c>
      <c r="D117" s="97">
        <f ca="1">TblMili[[#This Row],[Military]]</f>
        <v>826</v>
      </c>
      <c r="E117" s="97">
        <f ca="1">TblMili[[#This Row],[Draftees]]</f>
        <v>776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776</v>
      </c>
      <c r="M117" s="62">
        <f ca="1">TblMili[[#This Row],[Unit 1]]</f>
        <v>0</v>
      </c>
      <c r="N117" s="62">
        <f ca="1">TblMili[[#This Row],[Unit 2]]</f>
        <v>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45285.749999999724</v>
      </c>
      <c r="C118" s="97">
        <f ca="1">OFFSET(TblPop[[#This Row],[Peasants]],-1,0)+OFFSET(TblPop[[#This Row],[Net Peasant]],-1,0)+TblMili[[#This Row],[Release Draft]]</f>
        <v>1532</v>
      </c>
      <c r="D118" s="97">
        <f ca="1">TblMili[[#This Row],[Military]]</f>
        <v>826</v>
      </c>
      <c r="E118" s="97">
        <f ca="1">TblMili[[#This Row],[Draftees]]</f>
        <v>776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776</v>
      </c>
      <c r="M118" s="62">
        <f ca="1">TblMili[[#This Row],[Unit 1]]</f>
        <v>0</v>
      </c>
      <c r="N118" s="62">
        <f ca="1">TblMili[[#This Row],[Unit 2]]</f>
        <v>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45285.791666666388</v>
      </c>
      <c r="C119" s="97">
        <f ca="1">OFFSET(TblPop[[#This Row],[Peasants]],-1,0)+OFFSET(TblPop[[#This Row],[Net Peasant]],-1,0)+TblMili[[#This Row],[Release Draft]]</f>
        <v>1532</v>
      </c>
      <c r="D119" s="97">
        <f ca="1">TblMili[[#This Row],[Military]]</f>
        <v>826</v>
      </c>
      <c r="E119" s="97">
        <f ca="1">TblMili[[#This Row],[Draftees]]</f>
        <v>776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776</v>
      </c>
      <c r="M119" s="62">
        <f ca="1">TblMili[[#This Row],[Unit 1]]</f>
        <v>0</v>
      </c>
      <c r="N119" s="62">
        <f ca="1">TblMili[[#This Row],[Unit 2]]</f>
        <v>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45285.833333333052</v>
      </c>
      <c r="C120" s="97">
        <f ca="1">OFFSET(TblPop[[#This Row],[Peasants]],-1,0)+OFFSET(TblPop[[#This Row],[Net Peasant]],-1,0)+TblMili[[#This Row],[Release Draft]]</f>
        <v>1532</v>
      </c>
      <c r="D120" s="97">
        <f ca="1">TblMili[[#This Row],[Military]]</f>
        <v>826</v>
      </c>
      <c r="E120" s="97">
        <f ca="1">TblMili[[#This Row],[Draftees]]</f>
        <v>776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776</v>
      </c>
      <c r="M120" s="62">
        <f ca="1">TblMili[[#This Row],[Unit 1]]</f>
        <v>0</v>
      </c>
      <c r="N120" s="62">
        <f ca="1">TblMili[[#This Row],[Unit 2]]</f>
        <v>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45285.874999999716</v>
      </c>
      <c r="C121" s="97">
        <f ca="1">OFFSET(TblPop[[#This Row],[Peasants]],-1,0)+OFFSET(TblPop[[#This Row],[Net Peasant]],-1,0)+TblMili[[#This Row],[Release Draft]]</f>
        <v>1532</v>
      </c>
      <c r="D121" s="97">
        <f ca="1">TblMili[[#This Row],[Military]]</f>
        <v>826</v>
      </c>
      <c r="E121" s="97">
        <f ca="1">TblMili[[#This Row],[Draftees]]</f>
        <v>776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776</v>
      </c>
      <c r="M121" s="62">
        <f ca="1">TblMili[[#This Row],[Unit 1]]</f>
        <v>0</v>
      </c>
      <c r="N121" s="62">
        <f ca="1">TblMili[[#This Row],[Unit 2]]</f>
        <v>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45285.91666666638</v>
      </c>
      <c r="C122" s="97">
        <f ca="1">OFFSET(TblPop[[#This Row],[Peasants]],-1,0)+OFFSET(TblPop[[#This Row],[Net Peasant]],-1,0)+TblMili[[#This Row],[Release Draft]]</f>
        <v>1532</v>
      </c>
      <c r="D122" s="97">
        <f ca="1">TblMili[[#This Row],[Military]]</f>
        <v>826</v>
      </c>
      <c r="E122" s="97">
        <f ca="1">TblMili[[#This Row],[Draftees]]</f>
        <v>776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776</v>
      </c>
      <c r="M122" s="62">
        <f ca="1">TblMili[[#This Row],[Unit 1]]</f>
        <v>0</v>
      </c>
      <c r="N122" s="62">
        <f ca="1">TblMili[[#This Row],[Unit 2]]</f>
        <v>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45285.958333333045</v>
      </c>
      <c r="C123" s="97">
        <f ca="1">OFFSET(TblPop[[#This Row],[Peasants]],-1,0)+OFFSET(TblPop[[#This Row],[Net Peasant]],-1,0)+TblMili[[#This Row],[Release Draft]]</f>
        <v>1532</v>
      </c>
      <c r="D123" s="97">
        <f ca="1">TblMili[[#This Row],[Military]]</f>
        <v>826</v>
      </c>
      <c r="E123" s="97">
        <f ca="1">TblMili[[#This Row],[Draftees]]</f>
        <v>776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776</v>
      </c>
      <c r="M123" s="62">
        <f ca="1">TblMili[[#This Row],[Unit 1]]</f>
        <v>0</v>
      </c>
      <c r="N123" s="62">
        <f ca="1">TblMili[[#This Row],[Unit 2]]</f>
        <v>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45285.999999999709</v>
      </c>
      <c r="C124" s="97">
        <f ca="1">OFFSET(TblPop[[#This Row],[Peasants]],-1,0)+OFFSET(TblPop[[#This Row],[Net Peasant]],-1,0)+TblMili[[#This Row],[Release Draft]]</f>
        <v>1532</v>
      </c>
      <c r="D124" s="97">
        <f ca="1">TblMili[[#This Row],[Military]]</f>
        <v>826</v>
      </c>
      <c r="E124" s="97">
        <f ca="1">TblMili[[#This Row],[Draftees]]</f>
        <v>776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776</v>
      </c>
      <c r="M124" s="62">
        <f ca="1">TblMili[[#This Row],[Unit 1]]</f>
        <v>0</v>
      </c>
      <c r="N124" s="62">
        <f ca="1">TblMili[[#This Row],[Unit 2]]</f>
        <v>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45286.041666666373</v>
      </c>
      <c r="C125" s="97">
        <f ca="1">OFFSET(TblPop[[#This Row],[Peasants]],-1,0)+OFFSET(TblPop[[#This Row],[Net Peasant]],-1,0)+TblMili[[#This Row],[Release Draft]]</f>
        <v>1532</v>
      </c>
      <c r="D125" s="97">
        <f ca="1">TblMili[[#This Row],[Military]]</f>
        <v>826</v>
      </c>
      <c r="E125" s="97">
        <f ca="1">TblMili[[#This Row],[Draftees]]</f>
        <v>776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776</v>
      </c>
      <c r="M125" s="62">
        <f ca="1">TblMili[[#This Row],[Unit 1]]</f>
        <v>0</v>
      </c>
      <c r="N125" s="62">
        <f ca="1">TblMili[[#This Row],[Unit 2]]</f>
        <v>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45286.083333333037</v>
      </c>
      <c r="C126" s="97">
        <f ca="1">OFFSET(TblPop[[#This Row],[Peasants]],-1,0)+OFFSET(TblPop[[#This Row],[Net Peasant]],-1,0)+TblMili[[#This Row],[Release Draft]]</f>
        <v>1532</v>
      </c>
      <c r="D126" s="97">
        <f ca="1">TblMili[[#This Row],[Military]]</f>
        <v>826</v>
      </c>
      <c r="E126" s="97">
        <f ca="1">TblMili[[#This Row],[Draftees]]</f>
        <v>776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776</v>
      </c>
      <c r="M126" s="62">
        <f ca="1">TblMili[[#This Row],[Unit 1]]</f>
        <v>0</v>
      </c>
      <c r="N126" s="62">
        <f ca="1">TblMili[[#This Row],[Unit 2]]</f>
        <v>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45286.124999999702</v>
      </c>
      <c r="C127" s="97">
        <f ca="1">OFFSET(TblPop[[#This Row],[Peasants]],-1,0)+OFFSET(TblPop[[#This Row],[Net Peasant]],-1,0)+TblMili[[#This Row],[Release Draft]]</f>
        <v>1532</v>
      </c>
      <c r="D127" s="97">
        <f ca="1">TblMili[[#This Row],[Military]]</f>
        <v>826</v>
      </c>
      <c r="E127" s="97">
        <f ca="1">TblMili[[#This Row],[Draftees]]</f>
        <v>776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776</v>
      </c>
      <c r="M127" s="62">
        <f ca="1">TblMili[[#This Row],[Unit 1]]</f>
        <v>0</v>
      </c>
      <c r="N127" s="62">
        <f ca="1">TblMili[[#This Row],[Unit 2]]</f>
        <v>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45286.166666666366</v>
      </c>
      <c r="C128" s="97">
        <f ca="1">OFFSET(TblPop[[#This Row],[Peasants]],-1,0)+OFFSET(TblPop[[#This Row],[Net Peasant]],-1,0)+TblMili[[#This Row],[Release Draft]]</f>
        <v>1532</v>
      </c>
      <c r="D128" s="97">
        <f ca="1">TblMili[[#This Row],[Military]]</f>
        <v>826</v>
      </c>
      <c r="E128" s="97">
        <f ca="1">TblMili[[#This Row],[Draftees]]</f>
        <v>776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776</v>
      </c>
      <c r="M128" s="62">
        <f ca="1">TblMili[[#This Row],[Unit 1]]</f>
        <v>0</v>
      </c>
      <c r="N128" s="62">
        <f ca="1">TblMili[[#This Row],[Unit 2]]</f>
        <v>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45286.20833333303</v>
      </c>
      <c r="C129" s="97">
        <f ca="1">OFFSET(TblPop[[#This Row],[Peasants]],-1,0)+OFFSET(TblPop[[#This Row],[Net Peasant]],-1,0)+TblMili[[#This Row],[Release Draft]]</f>
        <v>1532</v>
      </c>
      <c r="D129" s="97">
        <f ca="1">TblMili[[#This Row],[Military]]</f>
        <v>826</v>
      </c>
      <c r="E129" s="97">
        <f ca="1">TblMili[[#This Row],[Draftees]]</f>
        <v>776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776</v>
      </c>
      <c r="M129" s="62">
        <f ca="1">TblMili[[#This Row],[Unit 1]]</f>
        <v>0</v>
      </c>
      <c r="N129" s="62">
        <f ca="1">TblMili[[#This Row],[Unit 2]]</f>
        <v>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45286.249999999694</v>
      </c>
      <c r="C130" s="97">
        <f ca="1">OFFSET(TblPop[[#This Row],[Peasants]],-1,0)+OFFSET(TblPop[[#This Row],[Net Peasant]],-1,0)+TblMili[[#This Row],[Release Draft]]</f>
        <v>1532</v>
      </c>
      <c r="D130" s="97">
        <f ca="1">TblMili[[#This Row],[Military]]</f>
        <v>826</v>
      </c>
      <c r="E130" s="97">
        <f ca="1">TblMili[[#This Row],[Draftees]]</f>
        <v>776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776</v>
      </c>
      <c r="M130" s="62">
        <f ca="1">TblMili[[#This Row],[Unit 1]]</f>
        <v>0</v>
      </c>
      <c r="N130" s="62">
        <f ca="1">TblMili[[#This Row],[Unit 2]]</f>
        <v>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45286.291666666359</v>
      </c>
      <c r="C131" s="97">
        <f ca="1">OFFSET(TblPop[[#This Row],[Peasants]],-1,0)+OFFSET(TblPop[[#This Row],[Net Peasant]],-1,0)+TblMili[[#This Row],[Release Draft]]</f>
        <v>1532</v>
      </c>
      <c r="D131" s="97">
        <f ca="1">TblMili[[#This Row],[Military]]</f>
        <v>826</v>
      </c>
      <c r="E131" s="97">
        <f ca="1">TblMili[[#This Row],[Draftees]]</f>
        <v>776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776</v>
      </c>
      <c r="M131" s="62">
        <f ca="1">TblMili[[#This Row],[Unit 1]]</f>
        <v>0</v>
      </c>
      <c r="N131" s="62">
        <f ca="1">TblMili[[#This Row],[Unit 2]]</f>
        <v>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45286.333333333023</v>
      </c>
      <c r="C132" s="97">
        <f ca="1">OFFSET(TblPop[[#This Row],[Peasants]],-1,0)+OFFSET(TblPop[[#This Row],[Net Peasant]],-1,0)+TblMili[[#This Row],[Release Draft]]</f>
        <v>1532</v>
      </c>
      <c r="D132" s="97">
        <f ca="1">TblMili[[#This Row],[Military]]</f>
        <v>826</v>
      </c>
      <c r="E132" s="97">
        <f ca="1">TblMili[[#This Row],[Draftees]]</f>
        <v>776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776</v>
      </c>
      <c r="M132" s="62">
        <f ca="1">TblMili[[#This Row],[Unit 1]]</f>
        <v>0</v>
      </c>
      <c r="N132" s="62">
        <f ca="1">TblMili[[#This Row],[Unit 2]]</f>
        <v>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45286.374999999687</v>
      </c>
      <c r="C133" s="97">
        <f ca="1">OFFSET(TblPop[[#This Row],[Peasants]],-1,0)+OFFSET(TblPop[[#This Row],[Net Peasant]],-1,0)+TblMili[[#This Row],[Release Draft]]</f>
        <v>1532</v>
      </c>
      <c r="D133" s="97">
        <f ca="1">TblMili[[#This Row],[Military]]</f>
        <v>826</v>
      </c>
      <c r="E133" s="97">
        <f ca="1">TblMili[[#This Row],[Draftees]]</f>
        <v>776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776</v>
      </c>
      <c r="M133" s="62">
        <f ca="1">TblMili[[#This Row],[Unit 1]]</f>
        <v>0</v>
      </c>
      <c r="N133" s="62">
        <f ca="1">TblMili[[#This Row],[Unit 2]]</f>
        <v>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45286.416666666351</v>
      </c>
      <c r="C134" s="97">
        <f ca="1">OFFSET(TblPop[[#This Row],[Peasants]],-1,0)+OFFSET(TblPop[[#This Row],[Net Peasant]],-1,0)+TblMili[[#This Row],[Release Draft]]</f>
        <v>1532</v>
      </c>
      <c r="D134" s="97">
        <f ca="1">TblMili[[#This Row],[Military]]</f>
        <v>826</v>
      </c>
      <c r="E134" s="97">
        <f ca="1">TblMili[[#This Row],[Draftees]]</f>
        <v>776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776</v>
      </c>
      <c r="M134" s="62">
        <f ca="1">TblMili[[#This Row],[Unit 1]]</f>
        <v>0</v>
      </c>
      <c r="N134" s="62">
        <f ca="1">TblMili[[#This Row],[Unit 2]]</f>
        <v>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45286.458333333016</v>
      </c>
      <c r="C135" s="97">
        <f ca="1">OFFSET(TblPop[[#This Row],[Peasants]],-1,0)+OFFSET(TblPop[[#This Row],[Net Peasant]],-1,0)+TblMili[[#This Row],[Release Draft]]</f>
        <v>1532</v>
      </c>
      <c r="D135" s="97">
        <f ca="1">TblMili[[#This Row],[Military]]</f>
        <v>826</v>
      </c>
      <c r="E135" s="97">
        <f ca="1">TblMili[[#This Row],[Draftees]]</f>
        <v>776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776</v>
      </c>
      <c r="M135" s="62">
        <f ca="1">TblMili[[#This Row],[Unit 1]]</f>
        <v>0</v>
      </c>
      <c r="N135" s="62">
        <f ca="1">TblMili[[#This Row],[Unit 2]]</f>
        <v>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45286.49999999968</v>
      </c>
      <c r="C136" s="97">
        <f ca="1">OFFSET(TblPop[[#This Row],[Peasants]],-1,0)+OFFSET(TblPop[[#This Row],[Net Peasant]],-1,0)+TblMili[[#This Row],[Release Draft]]</f>
        <v>1532</v>
      </c>
      <c r="D136" s="97">
        <f ca="1">TblMili[[#This Row],[Military]]</f>
        <v>826</v>
      </c>
      <c r="E136" s="97">
        <f ca="1">TblMili[[#This Row],[Draftees]]</f>
        <v>776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776</v>
      </c>
      <c r="M136" s="62">
        <f ca="1">TblMili[[#This Row],[Unit 1]]</f>
        <v>0</v>
      </c>
      <c r="N136" s="62">
        <f ca="1">TblMili[[#This Row],[Unit 2]]</f>
        <v>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ROUND(6*(Construction!BM137+Construction!CK136)/IF(Explore!S137&gt;0,Construction!F137-20,Construction!F137),4)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6" t="s">
        <v>317</v>
      </c>
      <c r="D1269" s="453"/>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7" priority="1" stopIfTrue="1">
      <formula>OR(C4&lt;0,ROW()-3=$C$1270)</formula>
    </cfRule>
  </conditionalFormatting>
  <conditionalFormatting sqref="A1269:XFD1270">
    <cfRule type="expression" dxfId="876" priority="106" stopIfTrue="1">
      <formula>$C$1270&gt;144</formula>
    </cfRule>
  </conditionalFormatting>
  <conditionalFormatting sqref="A4:AC136">
    <cfRule type="expression" dxfId="875" priority="12" stopIfTrue="1">
      <formula>ROW()-3=$C$1270</formula>
    </cfRule>
    <cfRule type="expression" dxfId="874" priority="112">
      <formula>$A4=73</formula>
    </cfRule>
    <cfRule type="expression" dxfId="873" priority="113">
      <formula>ROUND(($A4-1)/12,0)=INT($A4-1)/12</formula>
    </cfRule>
  </conditionalFormatting>
  <conditionalFormatting sqref="A1:XFD3">
    <cfRule type="expression" dxfId="872"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775</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776</v>
      </c>
      <c r="S3" s="138" t="s">
        <v>6</v>
      </c>
      <c r="T3" s="138" t="s">
        <v>9</v>
      </c>
      <c r="U3" s="138" t="s">
        <v>8</v>
      </c>
      <c r="V3" s="138" t="s">
        <v>13</v>
      </c>
      <c r="W3" s="138" t="s">
        <v>10</v>
      </c>
      <c r="X3" s="138" t="s">
        <v>11</v>
      </c>
      <c r="Y3" s="138" t="s">
        <v>50</v>
      </c>
      <c r="Z3" s="138" t="s">
        <v>777</v>
      </c>
      <c r="AA3" s="138" t="s">
        <v>840</v>
      </c>
      <c r="AB3" s="138" t="s">
        <v>841</v>
      </c>
      <c r="AC3" s="138" t="s">
        <v>842</v>
      </c>
      <c r="AD3" s="138" t="s">
        <v>843</v>
      </c>
      <c r="AE3" s="138" t="s">
        <v>844</v>
      </c>
      <c r="AF3" s="138" t="s">
        <v>845</v>
      </c>
      <c r="AG3" s="138" t="s">
        <v>778</v>
      </c>
      <c r="AH3" s="138" t="s">
        <v>846</v>
      </c>
      <c r="AI3" s="138" t="s">
        <v>847</v>
      </c>
      <c r="AJ3" s="138" t="s">
        <v>848</v>
      </c>
      <c r="AK3" s="138" t="s">
        <v>849</v>
      </c>
      <c r="AL3" s="138" t="s">
        <v>850</v>
      </c>
      <c r="AM3" s="138" t="s">
        <v>851</v>
      </c>
      <c r="AN3" s="138" t="s">
        <v>792</v>
      </c>
      <c r="AO3" s="138" t="s">
        <v>14</v>
      </c>
      <c r="AP3" s="138" t="s">
        <v>20</v>
      </c>
      <c r="AQ3" s="138" t="s">
        <v>16</v>
      </c>
      <c r="AR3" s="138" t="s">
        <v>15</v>
      </c>
      <c r="AS3" s="138" t="s">
        <v>793</v>
      </c>
      <c r="AT3" s="138" t="s">
        <v>852</v>
      </c>
      <c r="AU3" s="138" t="s">
        <v>853</v>
      </c>
      <c r="AV3" s="138" t="s">
        <v>854</v>
      </c>
      <c r="AW3" s="138" t="s">
        <v>855</v>
      </c>
      <c r="AX3" s="138" t="s">
        <v>856</v>
      </c>
      <c r="AY3" s="138" t="s">
        <v>794</v>
      </c>
      <c r="AZ3" s="138" t="s">
        <v>327</v>
      </c>
      <c r="BA3" s="138" t="s">
        <v>328</v>
      </c>
      <c r="BB3" s="138" t="s">
        <v>857</v>
      </c>
      <c r="BC3" s="138" t="s">
        <v>858</v>
      </c>
      <c r="BD3" s="138" t="s">
        <v>859</v>
      </c>
      <c r="BE3" s="138" t="s">
        <v>860</v>
      </c>
      <c r="BF3" s="138" t="s">
        <v>861</v>
      </c>
      <c r="BG3" s="138" t="s">
        <v>862</v>
      </c>
      <c r="BH3" s="138" t="s">
        <v>195</v>
      </c>
      <c r="BI3" s="138" t="s">
        <v>863</v>
      </c>
      <c r="BJ3" s="138" t="s">
        <v>864</v>
      </c>
      <c r="BK3" s="138" t="s">
        <v>865</v>
      </c>
      <c r="BL3" s="138" t="s">
        <v>866</v>
      </c>
      <c r="BM3" s="138" t="s">
        <v>867</v>
      </c>
    </row>
    <row r="4" spans="1:65" x14ac:dyDescent="0.2">
      <c r="A4" s="140">
        <f>TblRezone[[#This Row],[Hour]]</f>
        <v>1</v>
      </c>
      <c r="B4" s="155">
        <f>TblImps[[#This Row],[Time]]</f>
        <v>45281</v>
      </c>
      <c r="C4" s="156"/>
      <c r="D4" s="157"/>
      <c r="E4" s="97">
        <f ca="1">TblConstr[[#This Row],[Land]]</f>
        <v>250</v>
      </c>
      <c r="F4" s="97">
        <f>TblPop[[#This Row],[Peasants]]</f>
        <v>1300</v>
      </c>
      <c r="G4" s="97">
        <f ca="1">TblMili[[#This Row],[Networth (2)]]</f>
        <v>5700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Row],[Lumber]]*lumber_rot*(1+Military!$CL$13*Races!$AB$81)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45281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45281.041666666664</v>
      </c>
      <c r="C5" s="156"/>
      <c r="D5" s="157"/>
      <c r="E5" s="97">
        <f ca="1">TblConstr[[#This Row],[Land]]</f>
        <v>250</v>
      </c>
      <c r="F5" s="97">
        <f ca="1">TblPop[[#This Row],[Peasants]]</f>
        <v>1326</v>
      </c>
      <c r="G5" s="97">
        <f ca="1">TblMili[[#This Row],[Networth (2)]]</f>
        <v>5700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Row],[Lumber]]*lumber_rot*(1+Military!$CL$13*Races!$AB$81)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45281.041666666664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45281.083333333328</v>
      </c>
      <c r="C6" s="156"/>
      <c r="D6" s="157"/>
      <c r="E6" s="97">
        <f ca="1">TblConstr[[#This Row],[Land]]</f>
        <v>250</v>
      </c>
      <c r="F6" s="97">
        <f ca="1">TblPop[[#This Row],[Peasants]]</f>
        <v>1352</v>
      </c>
      <c r="G6" s="97">
        <f ca="1">TblMili[[#This Row],[Networth (2)]]</f>
        <v>5700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Row],[Lumber]]*lumber_rot*(1+Military!$CL$13*Races!$AB$81)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45281.083333333328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45281.124999999993</v>
      </c>
      <c r="C7" s="156"/>
      <c r="D7" s="157"/>
      <c r="E7" s="97">
        <f ca="1">TblConstr[[#This Row],[Land]]</f>
        <v>250</v>
      </c>
      <c r="F7" s="97">
        <f ca="1">TblPop[[#This Row],[Peasants]]</f>
        <v>1378</v>
      </c>
      <c r="G7" s="97">
        <f ca="1">TblMili[[#This Row],[Networth (2)]]</f>
        <v>5700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Row],[Lumber]]*lumber_rot*(1+Military!$CL$13*Races!$AB$81)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45281.124999999993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45281.166666666657</v>
      </c>
      <c r="C8" s="156"/>
      <c r="D8" s="157"/>
      <c r="E8" s="97">
        <f ca="1">TblConstr[[#This Row],[Land]]</f>
        <v>250</v>
      </c>
      <c r="F8" s="97">
        <f ca="1">TblPop[[#This Row],[Peasants]]</f>
        <v>1405</v>
      </c>
      <c r="G8" s="97">
        <f ca="1">TblMili[[#This Row],[Networth (2)]]</f>
        <v>5700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Row],[Lumber]]*lumber_rot*(1+Military!$CL$13*Races!$AB$81)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45281.166666666657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45281.208333333321</v>
      </c>
      <c r="C9" s="156"/>
      <c r="D9" s="157"/>
      <c r="E9" s="97">
        <f ca="1">TblConstr[[#This Row],[Land]]</f>
        <v>250</v>
      </c>
      <c r="F9" s="97">
        <f ca="1">TblPop[[#This Row],[Peasants]]</f>
        <v>1433</v>
      </c>
      <c r="G9" s="97">
        <f ca="1">TblMili[[#This Row],[Networth (2)]]</f>
        <v>5700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Row],[Lumber]]*lumber_rot*(1+Military!$CL$13*Races!$AB$81)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45281.208333333321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45281.249999999985</v>
      </c>
      <c r="C10" s="156"/>
      <c r="D10" s="157"/>
      <c r="E10" s="97">
        <f ca="1">TblConstr[[#This Row],[Land]]</f>
        <v>250</v>
      </c>
      <c r="F10" s="97">
        <f ca="1">TblPop[[#This Row],[Peasants]]</f>
        <v>1462</v>
      </c>
      <c r="G10" s="97">
        <f ca="1">TblMili[[#This Row],[Networth (2)]]</f>
        <v>5700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Row],[Lumber]]*lumber_rot*(1+Military!$CL$13*Races!$AB$81)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45281.249999999985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45281.29166666665</v>
      </c>
      <c r="C11" s="156"/>
      <c r="D11" s="157"/>
      <c r="E11" s="97">
        <f ca="1">TblConstr[[#This Row],[Land]]</f>
        <v>250</v>
      </c>
      <c r="F11" s="97">
        <f ca="1">TblPop[[#This Row],[Peasants]]</f>
        <v>1490</v>
      </c>
      <c r="G11" s="97">
        <f ca="1">TblMili[[#This Row],[Networth (2)]]</f>
        <v>5700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Row],[Lumber]]*lumber_rot*(1+Military!$CL$13*Races!$AB$81)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45281.29166666665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45281.333333333314</v>
      </c>
      <c r="C12" s="156"/>
      <c r="D12" s="157"/>
      <c r="E12" s="97">
        <f ca="1">TblConstr[[#This Row],[Land]]</f>
        <v>250</v>
      </c>
      <c r="F12" s="97">
        <f ca="1">TblPop[[#This Row],[Peasants]]</f>
        <v>1519</v>
      </c>
      <c r="G12" s="97">
        <f ca="1">TblMili[[#This Row],[Networth (2)]]</f>
        <v>5700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Row],[Lumber]]*lumber_rot*(1+Military!$CL$13*Races!$AB$81)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45281.333333333314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45281.374999999978</v>
      </c>
      <c r="C13" s="156"/>
      <c r="D13" s="157"/>
      <c r="E13" s="97">
        <f ca="1">TblConstr[[#This Row],[Land]]</f>
        <v>250</v>
      </c>
      <c r="F13" s="97">
        <f ca="1">TblPop[[#This Row],[Peasants]]</f>
        <v>1549</v>
      </c>
      <c r="G13" s="97">
        <f ca="1">TblMili[[#This Row],[Networth (2)]]</f>
        <v>5700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Row],[Lumber]]*lumber_rot*(1+Military!$CL$13*Races!$AB$81)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45281.374999999978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45281.416666666642</v>
      </c>
      <c r="C14" s="156"/>
      <c r="D14" s="157"/>
      <c r="E14" s="97">
        <f ca="1">TblConstr[[#This Row],[Land]]</f>
        <v>250</v>
      </c>
      <c r="F14" s="97">
        <f ca="1">TblPop[[#This Row],[Peasants]]</f>
        <v>1580</v>
      </c>
      <c r="G14" s="97">
        <f ca="1">TblMili[[#This Row],[Networth (2)]]</f>
        <v>5700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Row],[Lumber]]*lumber_rot*(1+Military!$CL$13*Races!$AB$81)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45281.416666666642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45281.458333333307</v>
      </c>
      <c r="C15" s="156"/>
      <c r="D15" s="157"/>
      <c r="E15" s="97">
        <f ca="1">TblConstr[[#This Row],[Land]]</f>
        <v>250</v>
      </c>
      <c r="F15" s="97">
        <f ca="1">TblPop[[#This Row],[Peasants]]</f>
        <v>1611</v>
      </c>
      <c r="G15" s="97">
        <f ca="1">TblMili[[#This Row],[Networth (2)]]</f>
        <v>5700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Row],[Lumber]]*lumber_rot*(1+Military!$CL$13*Races!$AB$81)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45281.458333333307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45281.499999999971</v>
      </c>
      <c r="C16" s="156"/>
      <c r="D16" s="157"/>
      <c r="E16" s="97">
        <f ca="1">TblConstr[[#This Row],[Land]]</f>
        <v>250</v>
      </c>
      <c r="F16" s="97">
        <f ca="1">TblPop[[#This Row],[Peasants]]</f>
        <v>1643</v>
      </c>
      <c r="G16" s="97">
        <f ca="1">TblMili[[#This Row],[Networth (2)]]</f>
        <v>5700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Row],[Lumber]]*lumber_rot*(1+Military!$CL$13*Races!$AB$81)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45281.499999999971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45281.541666666635</v>
      </c>
      <c r="C17" s="156"/>
      <c r="D17" s="157"/>
      <c r="E17" s="97">
        <f ca="1">TblConstr[[#This Row],[Land]]</f>
        <v>250</v>
      </c>
      <c r="F17" s="97">
        <f ca="1">TblPop[[#This Row],[Peasants]]</f>
        <v>1676</v>
      </c>
      <c r="G17" s="97">
        <f ca="1">TblMili[[#This Row],[Networth (2)]]</f>
        <v>5700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Row],[Lumber]]*lumber_rot*(1+Military!$CL$13*Races!$AB$81)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45281.541666666635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45281.583333333299</v>
      </c>
      <c r="C18" s="156"/>
      <c r="D18" s="157"/>
      <c r="E18" s="97">
        <f ca="1">TblConstr[[#This Row],[Land]]</f>
        <v>250</v>
      </c>
      <c r="F18" s="97">
        <f ca="1">TblPop[[#This Row],[Peasants]]</f>
        <v>1709</v>
      </c>
      <c r="G18" s="97">
        <f ca="1">TblMili[[#This Row],[Networth (2)]]</f>
        <v>5700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Row],[Lumber]]*lumber_rot*(1+Military!$CL$13*Races!$AB$81)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45281.583333333299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45281.624999999964</v>
      </c>
      <c r="C19" s="156"/>
      <c r="D19" s="157"/>
      <c r="E19" s="97">
        <f ca="1">TblConstr[[#This Row],[Land]]</f>
        <v>250</v>
      </c>
      <c r="F19" s="97">
        <f ca="1">TblPop[[#This Row],[Peasants]]</f>
        <v>1743</v>
      </c>
      <c r="G19" s="97">
        <f ca="1">TblMili[[#This Row],[Networth (2)]]</f>
        <v>5700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Row],[Lumber]]*lumber_rot*(1+Military!$CL$13*Races!$AB$81)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45281.624999999964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45281.666666666628</v>
      </c>
      <c r="C20" s="156"/>
      <c r="D20" s="157"/>
      <c r="E20" s="97">
        <f ca="1">TblConstr[[#This Row],[Land]]</f>
        <v>250</v>
      </c>
      <c r="F20" s="97">
        <f ca="1">TblPop[[#This Row],[Peasants]]</f>
        <v>1778</v>
      </c>
      <c r="G20" s="97">
        <f ca="1">TblMili[[#This Row],[Networth (2)]]</f>
        <v>5700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Row],[Lumber]]*lumber_rot*(1+Military!$CL$13*Races!$AB$81)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45281.666666666628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45281.708333333292</v>
      </c>
      <c r="C21" s="156"/>
      <c r="D21" s="157"/>
      <c r="E21" s="97">
        <f ca="1">TblConstr[[#This Row],[Land]]</f>
        <v>250</v>
      </c>
      <c r="F21" s="97">
        <f ca="1">TblPop[[#This Row],[Peasants]]</f>
        <v>1799</v>
      </c>
      <c r="G21" s="97">
        <f ca="1">TblMili[[#This Row],[Networth (2)]]</f>
        <v>5700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Row],[Lumber]]*lumber_rot*(1+Military!$CL$13*Races!$AB$81)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45281.708333333292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45281.749999999956</v>
      </c>
      <c r="C22" s="156"/>
      <c r="D22" s="157"/>
      <c r="E22" s="97">
        <f ca="1">TblConstr[[#This Row],[Land]]</f>
        <v>250</v>
      </c>
      <c r="F22" s="97">
        <f ca="1">TblPop[[#This Row],[Peasants]]</f>
        <v>1781</v>
      </c>
      <c r="G22" s="97">
        <f ca="1">TblMili[[#This Row],[Networth (2)]]</f>
        <v>5700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Row],[Lumber]]*lumber_rot*(1+Military!$CL$13*Races!$AB$81)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45281.749999999956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45281.791666666621</v>
      </c>
      <c r="C23" s="156"/>
      <c r="D23" s="157"/>
      <c r="E23" s="97">
        <f ca="1">TblConstr[[#This Row],[Land]]</f>
        <v>250</v>
      </c>
      <c r="F23" s="97">
        <f ca="1">TblPop[[#This Row],[Peasants]]</f>
        <v>1763</v>
      </c>
      <c r="G23" s="97">
        <f ca="1">TblMili[[#This Row],[Networth (2)]]</f>
        <v>5700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Row],[Lumber]]*lumber_rot*(1+Military!$CL$13*Races!$AB$81)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45281.791666666621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45281.833333333285</v>
      </c>
      <c r="C24" s="156"/>
      <c r="D24" s="157"/>
      <c r="E24" s="97">
        <f ca="1">TblConstr[[#This Row],[Land]]</f>
        <v>250</v>
      </c>
      <c r="F24" s="97">
        <f ca="1">TblPop[[#This Row],[Peasants]]</f>
        <v>1745</v>
      </c>
      <c r="G24" s="97">
        <f ca="1">TblMili[[#This Row],[Networth (2)]]</f>
        <v>5700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Row],[Lumber]]*lumber_rot*(1+Military!$CL$13*Races!$AB$81)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45281.833333333285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45281.874999999949</v>
      </c>
      <c r="C25" s="156"/>
      <c r="D25" s="157"/>
      <c r="E25" s="97">
        <f ca="1">TblConstr[[#This Row],[Land]]</f>
        <v>250</v>
      </c>
      <c r="F25" s="97">
        <f ca="1">TblPop[[#This Row],[Peasants]]</f>
        <v>1728</v>
      </c>
      <c r="G25" s="97">
        <f ca="1">TblMili[[#This Row],[Networth (2)]]</f>
        <v>5700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Row],[Lumber]]*lumber_rot*(1+Military!$CL$13*Races!$AB$81)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45281.874999999949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45281.916666666613</v>
      </c>
      <c r="C26" s="156"/>
      <c r="D26" s="157"/>
      <c r="E26" s="97">
        <f ca="1">TblConstr[[#This Row],[Land]]</f>
        <v>250</v>
      </c>
      <c r="F26" s="97">
        <f ca="1">TblPop[[#This Row],[Peasants]]</f>
        <v>1711</v>
      </c>
      <c r="G26" s="97">
        <f ca="1">TblMili[[#This Row],[Networth (2)]]</f>
        <v>5700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Row],[Lumber]]*lumber_rot*(1+Military!$CL$13*Races!$AB$81)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45281.916666666613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45281.958333333278</v>
      </c>
      <c r="C27" s="156"/>
      <c r="D27" s="157"/>
      <c r="E27" s="97">
        <f ca="1">TblConstr[[#This Row],[Land]]</f>
        <v>250</v>
      </c>
      <c r="F27" s="97">
        <f ca="1">TblPop[[#This Row],[Peasants]]</f>
        <v>1694</v>
      </c>
      <c r="G27" s="97">
        <f ca="1">TblMili[[#This Row],[Networth (2)]]</f>
        <v>5700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Row],[Lumber]]*lumber_rot*(1+Military!$CL$13*Races!$AB$81)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45281.958333333278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45281.999999999942</v>
      </c>
      <c r="C28" s="156"/>
      <c r="D28" s="157"/>
      <c r="E28" s="97">
        <f ca="1">TblConstr[[#This Row],[Land]]</f>
        <v>250</v>
      </c>
      <c r="F28" s="97">
        <f ca="1">TblPop[[#This Row],[Peasants]]</f>
        <v>1677</v>
      </c>
      <c r="G28" s="97">
        <f ca="1">TblMili[[#This Row],[Networth (2)]]</f>
        <v>5700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Row],[Lumber]]*lumber_rot*(1+Military!$CL$13*Races!$AB$81)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45281.999999999942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45282.041666666606</v>
      </c>
      <c r="C29" s="156"/>
      <c r="D29" s="157"/>
      <c r="E29" s="97">
        <f ca="1">TblConstr[[#This Row],[Land]]</f>
        <v>250</v>
      </c>
      <c r="F29" s="97">
        <f ca="1">TblPop[[#This Row],[Peasants]]</f>
        <v>1660</v>
      </c>
      <c r="G29" s="97">
        <f ca="1">TblMili[[#This Row],[Networth (2)]]</f>
        <v>5700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Row],[Lumber]]*lumber_rot*(1+Military!$CL$13*Races!$AB$81)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45282.041666666606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45282.08333333327</v>
      </c>
      <c r="C30" s="156"/>
      <c r="D30" s="157"/>
      <c r="E30" s="97">
        <f ca="1">TblConstr[[#This Row],[Land]]</f>
        <v>250</v>
      </c>
      <c r="F30" s="97">
        <f ca="1">TblPop[[#This Row],[Peasants]]</f>
        <v>1643</v>
      </c>
      <c r="G30" s="97">
        <f ca="1">TblMili[[#This Row],[Networth (2)]]</f>
        <v>5700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Row],[Lumber]]*lumber_rot*(1+Military!$CL$13*Races!$AB$81)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45282.08333333327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45282.124999999935</v>
      </c>
      <c r="C31" s="156"/>
      <c r="D31" s="157"/>
      <c r="E31" s="97">
        <f ca="1">TblConstr[[#This Row],[Land]]</f>
        <v>250</v>
      </c>
      <c r="F31" s="97">
        <f ca="1">TblPop[[#This Row],[Peasants]]</f>
        <v>1627</v>
      </c>
      <c r="G31" s="97">
        <f ca="1">TblMili[[#This Row],[Networth (2)]]</f>
        <v>5700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Row],[Lumber]]*lumber_rot*(1+Military!$CL$13*Races!$AB$81)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45282.124999999935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45282.166666666599</v>
      </c>
      <c r="C32" s="156"/>
      <c r="D32" s="157"/>
      <c r="E32" s="97">
        <f ca="1">TblConstr[[#This Row],[Land]]</f>
        <v>250</v>
      </c>
      <c r="F32" s="97">
        <f ca="1">TblPop[[#This Row],[Peasants]]</f>
        <v>1611</v>
      </c>
      <c r="G32" s="97">
        <f ca="1">TblMili[[#This Row],[Networth (2)]]</f>
        <v>5700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Row],[Lumber]]*lumber_rot*(1+Military!$CL$13*Races!$AB$81)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45282.166666666599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45282.208333333263</v>
      </c>
      <c r="C33" s="156"/>
      <c r="D33" s="157"/>
      <c r="E33" s="97">
        <f ca="1">TblConstr[[#This Row],[Land]]</f>
        <v>250</v>
      </c>
      <c r="F33" s="97">
        <f ca="1">TblPop[[#This Row],[Peasants]]</f>
        <v>1595</v>
      </c>
      <c r="G33" s="97">
        <f ca="1">TblMili[[#This Row],[Networth (2)]]</f>
        <v>5700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Row],[Lumber]]*lumber_rot*(1+Military!$CL$13*Races!$AB$81)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45282.208333333263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45282.249999999927</v>
      </c>
      <c r="C34" s="156"/>
      <c r="D34" s="157"/>
      <c r="E34" s="97">
        <f ca="1">TblConstr[[#This Row],[Land]]</f>
        <v>250</v>
      </c>
      <c r="F34" s="97">
        <f ca="1">TblPop[[#This Row],[Peasants]]</f>
        <v>1579</v>
      </c>
      <c r="G34" s="97">
        <f ca="1">TblMili[[#This Row],[Networth (2)]]</f>
        <v>5700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Row],[Lumber]]*lumber_rot*(1+Military!$CL$13*Races!$AB$81)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45282.249999999927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45282.291666666591</v>
      </c>
      <c r="C35" s="156"/>
      <c r="D35" s="157"/>
      <c r="E35" s="97">
        <f ca="1">TblConstr[[#This Row],[Land]]</f>
        <v>250</v>
      </c>
      <c r="F35" s="97">
        <f ca="1">TblPop[[#This Row],[Peasants]]</f>
        <v>1563</v>
      </c>
      <c r="G35" s="97">
        <f ca="1">TblMili[[#This Row],[Networth (2)]]</f>
        <v>5700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Row],[Lumber]]*lumber_rot*(1+Military!$CL$13*Races!$AB$81)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45282.291666666591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45282.333333333256</v>
      </c>
      <c r="C36" s="156"/>
      <c r="D36" s="157"/>
      <c r="E36" s="97">
        <f ca="1">TblConstr[[#This Row],[Land]]</f>
        <v>250</v>
      </c>
      <c r="F36" s="97">
        <f ca="1">TblPop[[#This Row],[Peasants]]</f>
        <v>1547</v>
      </c>
      <c r="G36" s="97">
        <f ca="1">TblMili[[#This Row],[Networth (2)]]</f>
        <v>5700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Row],[Lumber]]*lumber_rot*(1+Military!$CL$13*Races!$AB$81)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45282.333333333256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45282.37499999992</v>
      </c>
      <c r="C37" s="156"/>
      <c r="D37" s="157"/>
      <c r="E37" s="97">
        <f ca="1">TblConstr[[#This Row],[Land]]</f>
        <v>250</v>
      </c>
      <c r="F37" s="97">
        <f ca="1">TblPop[[#This Row],[Peasants]]</f>
        <v>1532</v>
      </c>
      <c r="G37" s="97">
        <f ca="1">TblMili[[#This Row],[Networth (2)]]</f>
        <v>5700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Row],[Lumber]]*lumber_rot*(1+Military!$CL$13*Races!$AB$81)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45282.37499999992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45282.416666666584</v>
      </c>
      <c r="C38" s="156"/>
      <c r="D38" s="157"/>
      <c r="E38" s="97">
        <f ca="1">TblConstr[[#This Row],[Land]]</f>
        <v>250</v>
      </c>
      <c r="F38" s="97">
        <f ca="1">TblPop[[#This Row],[Peasants]]</f>
        <v>1532</v>
      </c>
      <c r="G38" s="97">
        <f ca="1">TblMili[[#This Row],[Networth (2)]]</f>
        <v>5700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Row],[Lumber]]*lumber_rot*(1+Military!$CL$13*Races!$AB$81)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45282.416666666584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45282.458333333248</v>
      </c>
      <c r="C39" s="156"/>
      <c r="D39" s="157"/>
      <c r="E39" s="97">
        <f ca="1">TblConstr[[#This Row],[Land]]</f>
        <v>250</v>
      </c>
      <c r="F39" s="97">
        <f ca="1">TblPop[[#This Row],[Peasants]]</f>
        <v>1532</v>
      </c>
      <c r="G39" s="97">
        <f ca="1">TblMili[[#This Row],[Networth (2)]]</f>
        <v>5700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Row],[Lumber]]*lumber_rot*(1+Military!$CL$13*Races!$AB$81)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45282.458333333248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45282.499999999913</v>
      </c>
      <c r="C40" s="156"/>
      <c r="D40" s="157"/>
      <c r="E40" s="97">
        <f ca="1">TblConstr[[#This Row],[Land]]</f>
        <v>250</v>
      </c>
      <c r="F40" s="97">
        <f ca="1">TblPop[[#This Row],[Peasants]]</f>
        <v>1532</v>
      </c>
      <c r="G40" s="97">
        <f ca="1">TblMili[[#This Row],[Networth (2)]]</f>
        <v>5700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Row],[Lumber]]*lumber_rot*(1+Military!$CL$13*Races!$AB$81)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45282.499999999913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45282.541666666577</v>
      </c>
      <c r="C41" s="156"/>
      <c r="D41" s="157"/>
      <c r="E41" s="97">
        <f ca="1">TblConstr[[#This Row],[Land]]</f>
        <v>250</v>
      </c>
      <c r="F41" s="97">
        <f ca="1">TblPop[[#This Row],[Peasants]]</f>
        <v>1532</v>
      </c>
      <c r="G41" s="97">
        <f ca="1">TblMili[[#This Row],[Networth (2)]]</f>
        <v>5700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Row],[Lumber]]*lumber_rot*(1+Military!$CL$13*Races!$AB$81)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45282.541666666577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45282.583333333241</v>
      </c>
      <c r="C42" s="156"/>
      <c r="D42" s="157"/>
      <c r="E42" s="97">
        <f ca="1">TblConstr[[#This Row],[Land]]</f>
        <v>250</v>
      </c>
      <c r="F42" s="97">
        <f ca="1">TblPop[[#This Row],[Peasants]]</f>
        <v>1532</v>
      </c>
      <c r="G42" s="97">
        <f ca="1">TblMili[[#This Row],[Networth (2)]]</f>
        <v>5700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Row],[Lumber]]*lumber_rot*(1+Military!$CL$13*Races!$AB$81)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45282.583333333241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45282.624999999905</v>
      </c>
      <c r="C43" s="156"/>
      <c r="D43" s="157"/>
      <c r="E43" s="97">
        <f ca="1">TblConstr[[#This Row],[Land]]</f>
        <v>250</v>
      </c>
      <c r="F43" s="97">
        <f ca="1">TblPop[[#This Row],[Peasants]]</f>
        <v>1532</v>
      </c>
      <c r="G43" s="97">
        <f ca="1">TblMili[[#This Row],[Networth (2)]]</f>
        <v>5700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Row],[Lumber]]*lumber_rot*(1+Military!$CL$13*Races!$AB$81)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45282.624999999905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45282.66666666657</v>
      </c>
      <c r="C44" s="156"/>
      <c r="D44" s="157"/>
      <c r="E44" s="97">
        <f ca="1">TblConstr[[#This Row],[Land]]</f>
        <v>250</v>
      </c>
      <c r="F44" s="97">
        <f ca="1">TblPop[[#This Row],[Peasants]]</f>
        <v>1532</v>
      </c>
      <c r="G44" s="97">
        <f ca="1">TblMili[[#This Row],[Networth (2)]]</f>
        <v>5700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Row],[Lumber]]*lumber_rot*(1+Military!$CL$13*Races!$AB$81)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45282.66666666657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45282.708333333234</v>
      </c>
      <c r="C45" s="156"/>
      <c r="D45" s="157"/>
      <c r="E45" s="97">
        <f ca="1">TblConstr[[#This Row],[Land]]</f>
        <v>250</v>
      </c>
      <c r="F45" s="97">
        <f ca="1">TblPop[[#This Row],[Peasants]]</f>
        <v>1532</v>
      </c>
      <c r="G45" s="97">
        <f ca="1">TblMili[[#This Row],[Networth (2)]]</f>
        <v>5700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Row],[Lumber]]*lumber_rot*(1+Military!$CL$13*Races!$AB$81)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45282.708333333234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45282.749999999898</v>
      </c>
      <c r="C46" s="156"/>
      <c r="D46" s="157"/>
      <c r="E46" s="97">
        <f ca="1">TblConstr[[#This Row],[Land]]</f>
        <v>250</v>
      </c>
      <c r="F46" s="97">
        <f ca="1">TblPop[[#This Row],[Peasants]]</f>
        <v>1532</v>
      </c>
      <c r="G46" s="97">
        <f ca="1">TblMili[[#This Row],[Networth (2)]]</f>
        <v>5700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Row],[Lumber]]*lumber_rot*(1+Military!$CL$13*Races!$AB$81)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45282.749999999898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45282.791666666562</v>
      </c>
      <c r="C47" s="156"/>
      <c r="D47" s="157"/>
      <c r="E47" s="97">
        <f ca="1">TblConstr[[#This Row],[Land]]</f>
        <v>250</v>
      </c>
      <c r="F47" s="97">
        <f ca="1">TblPop[[#This Row],[Peasants]]</f>
        <v>1532</v>
      </c>
      <c r="G47" s="97">
        <f ca="1">TblMili[[#This Row],[Networth (2)]]</f>
        <v>5700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Row],[Lumber]]*lumber_rot*(1+Military!$CL$13*Races!$AB$81)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45282.791666666562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45282.833333333227</v>
      </c>
      <c r="C48" s="156"/>
      <c r="D48" s="157"/>
      <c r="E48" s="97">
        <f ca="1">TblConstr[[#This Row],[Land]]</f>
        <v>250</v>
      </c>
      <c r="F48" s="97">
        <f ca="1">TblPop[[#This Row],[Peasants]]</f>
        <v>1532</v>
      </c>
      <c r="G48" s="97">
        <f ca="1">TblMili[[#This Row],[Networth (2)]]</f>
        <v>5700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Row],[Lumber]]*lumber_rot*(1+Military!$CL$13*Races!$AB$81)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45282.833333333227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45282.874999999891</v>
      </c>
      <c r="C49" s="156"/>
      <c r="D49" s="157"/>
      <c r="E49" s="97">
        <f ca="1">TblConstr[[#This Row],[Land]]</f>
        <v>250</v>
      </c>
      <c r="F49" s="97">
        <f ca="1">TblPop[[#This Row],[Peasants]]</f>
        <v>1532</v>
      </c>
      <c r="G49" s="97">
        <f ca="1">TblMili[[#This Row],[Networth (2)]]</f>
        <v>5700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Row],[Lumber]]*lumber_rot*(1+Military!$CL$13*Races!$AB$81)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45282.874999999891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45282.916666666555</v>
      </c>
      <c r="C50" s="156"/>
      <c r="D50" s="157"/>
      <c r="E50" s="97">
        <f ca="1">TblConstr[[#This Row],[Land]]</f>
        <v>250</v>
      </c>
      <c r="F50" s="97">
        <f ca="1">TblPop[[#This Row],[Peasants]]</f>
        <v>1532</v>
      </c>
      <c r="G50" s="97">
        <f ca="1">TblMili[[#This Row],[Networth (2)]]</f>
        <v>5700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Row],[Lumber]]*lumber_rot*(1+Military!$CL$13*Races!$AB$81)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45282.916666666555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45282.958333333219</v>
      </c>
      <c r="C51" s="156"/>
      <c r="D51" s="157"/>
      <c r="E51" s="97">
        <f ca="1">TblConstr[[#This Row],[Land]]</f>
        <v>250</v>
      </c>
      <c r="F51" s="97">
        <f ca="1">TblPop[[#This Row],[Peasants]]</f>
        <v>1532</v>
      </c>
      <c r="G51" s="97">
        <f ca="1">TblMili[[#This Row],[Networth (2)]]</f>
        <v>5700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Row],[Lumber]]*lumber_rot*(1+Military!$CL$13*Races!$AB$81)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45282.958333333219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45282.999999999884</v>
      </c>
      <c r="C52" s="156"/>
      <c r="D52" s="157"/>
      <c r="E52" s="97">
        <f ca="1">TblConstr[[#This Row],[Land]]</f>
        <v>250</v>
      </c>
      <c r="F52" s="97">
        <f ca="1">TblPop[[#This Row],[Peasants]]</f>
        <v>1532</v>
      </c>
      <c r="G52" s="97">
        <f ca="1">TblMili[[#This Row],[Networth (2)]]</f>
        <v>5700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Row],[Lumber]]*lumber_rot*(1+Military!$CL$13*Races!$AB$81)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45282.999999999884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45283.041666666548</v>
      </c>
      <c r="C53" s="156"/>
      <c r="D53" s="157"/>
      <c r="E53" s="97">
        <f ca="1">TblConstr[[#This Row],[Land]]</f>
        <v>250</v>
      </c>
      <c r="F53" s="97">
        <f ca="1">TblPop[[#This Row],[Peasants]]</f>
        <v>1532</v>
      </c>
      <c r="G53" s="97">
        <f ca="1">TblMili[[#This Row],[Networth (2)]]</f>
        <v>5700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Row],[Lumber]]*lumber_rot*(1+Military!$CL$13*Races!$AB$81)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45283.041666666548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45283.083333333212</v>
      </c>
      <c r="C54" s="156"/>
      <c r="D54" s="157"/>
      <c r="E54" s="97">
        <f ca="1">TblConstr[[#This Row],[Land]]</f>
        <v>250</v>
      </c>
      <c r="F54" s="97">
        <f ca="1">TblPop[[#This Row],[Peasants]]</f>
        <v>1532</v>
      </c>
      <c r="G54" s="97">
        <f ca="1">TblMili[[#This Row],[Networth (2)]]</f>
        <v>5700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Row],[Lumber]]*lumber_rot*(1+Military!$CL$13*Races!$AB$81)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45283.083333333212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45283.124999999876</v>
      </c>
      <c r="C55" s="156"/>
      <c r="D55" s="157"/>
      <c r="E55" s="97">
        <f ca="1">TblConstr[[#This Row],[Land]]</f>
        <v>250</v>
      </c>
      <c r="F55" s="97">
        <f ca="1">TblPop[[#This Row],[Peasants]]</f>
        <v>1532</v>
      </c>
      <c r="G55" s="97">
        <f ca="1">TblMili[[#This Row],[Networth (2)]]</f>
        <v>5700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Row],[Lumber]]*lumber_rot*(1+Military!$CL$13*Races!$AB$81)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45283.124999999876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45283.166666666541</v>
      </c>
      <c r="C56" s="156"/>
      <c r="D56" s="157"/>
      <c r="E56" s="97">
        <f ca="1">TblConstr[[#This Row],[Land]]</f>
        <v>250</v>
      </c>
      <c r="F56" s="97">
        <f ca="1">TblPop[[#This Row],[Peasants]]</f>
        <v>1532</v>
      </c>
      <c r="G56" s="97">
        <f ca="1">TblMili[[#This Row],[Networth (2)]]</f>
        <v>5700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Row],[Lumber]]*lumber_rot*(1+Military!$CL$13*Races!$AB$81)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45283.166666666541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45283.208333333205</v>
      </c>
      <c r="C57" s="156"/>
      <c r="D57" s="157"/>
      <c r="E57" s="97">
        <f ca="1">TblConstr[[#This Row],[Land]]</f>
        <v>250</v>
      </c>
      <c r="F57" s="97">
        <f ca="1">TblPop[[#This Row],[Peasants]]</f>
        <v>1532</v>
      </c>
      <c r="G57" s="97">
        <f ca="1">TblMili[[#This Row],[Networth (2)]]</f>
        <v>5700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Row],[Lumber]]*lumber_rot*(1+Military!$CL$13*Races!$AB$81)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45283.208333333205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45283.249999999869</v>
      </c>
      <c r="C58" s="156"/>
      <c r="D58" s="157"/>
      <c r="E58" s="97">
        <f ca="1">TblConstr[[#This Row],[Land]]</f>
        <v>250</v>
      </c>
      <c r="F58" s="97">
        <f ca="1">TblPop[[#This Row],[Peasants]]</f>
        <v>1532</v>
      </c>
      <c r="G58" s="97">
        <f ca="1">TblMili[[#This Row],[Networth (2)]]</f>
        <v>5700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Row],[Lumber]]*lumber_rot*(1+Military!$CL$13*Races!$AB$81)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45283.249999999869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45283.291666666533</v>
      </c>
      <c r="C59" s="156"/>
      <c r="D59" s="157"/>
      <c r="E59" s="97">
        <f ca="1">TblConstr[[#This Row],[Land]]</f>
        <v>250</v>
      </c>
      <c r="F59" s="97">
        <f ca="1">TblPop[[#This Row],[Peasants]]</f>
        <v>1532</v>
      </c>
      <c r="G59" s="97">
        <f ca="1">TblMili[[#This Row],[Networth (2)]]</f>
        <v>5700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Row],[Lumber]]*lumber_rot*(1+Military!$CL$13*Races!$AB$81)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45283.291666666533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45283.333333333198</v>
      </c>
      <c r="C60" s="156"/>
      <c r="D60" s="157"/>
      <c r="E60" s="97">
        <f ca="1">TblConstr[[#This Row],[Land]]</f>
        <v>250</v>
      </c>
      <c r="F60" s="97">
        <f ca="1">TblPop[[#This Row],[Peasants]]</f>
        <v>1532</v>
      </c>
      <c r="G60" s="97">
        <f ca="1">TblMili[[#This Row],[Networth (2)]]</f>
        <v>5700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Row],[Lumber]]*lumber_rot*(1+Military!$CL$13*Races!$AB$81)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45283.333333333198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45283.374999999862</v>
      </c>
      <c r="C61" s="156"/>
      <c r="D61" s="157"/>
      <c r="E61" s="97">
        <f ca="1">TblConstr[[#This Row],[Land]]</f>
        <v>250</v>
      </c>
      <c r="F61" s="97">
        <f ca="1">TblPop[[#This Row],[Peasants]]</f>
        <v>1532</v>
      </c>
      <c r="G61" s="97">
        <f ca="1">TblMili[[#This Row],[Networth (2)]]</f>
        <v>5700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Row],[Lumber]]*lumber_rot*(1+Military!$CL$13*Races!$AB$81)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45283.374999999862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45283.416666666526</v>
      </c>
      <c r="C62" s="156"/>
      <c r="D62" s="157"/>
      <c r="E62" s="97">
        <f ca="1">TblConstr[[#This Row],[Land]]</f>
        <v>250</v>
      </c>
      <c r="F62" s="97">
        <f ca="1">TblPop[[#This Row],[Peasants]]</f>
        <v>1532</v>
      </c>
      <c r="G62" s="97">
        <f ca="1">TblMili[[#This Row],[Networth (2)]]</f>
        <v>5700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Row],[Lumber]]*lumber_rot*(1+Military!$CL$13*Races!$AB$81)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45283.416666666526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45283.45833333319</v>
      </c>
      <c r="C63" s="156"/>
      <c r="D63" s="157"/>
      <c r="E63" s="97">
        <f ca="1">TblConstr[[#This Row],[Land]]</f>
        <v>250</v>
      </c>
      <c r="F63" s="97">
        <f ca="1">TblPop[[#This Row],[Peasants]]</f>
        <v>1532</v>
      </c>
      <c r="G63" s="97">
        <f ca="1">TblMili[[#This Row],[Networth (2)]]</f>
        <v>5700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Row],[Lumber]]*lumber_rot*(1+Military!$CL$13*Races!$AB$81)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45283.45833333319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45283.499999999854</v>
      </c>
      <c r="C64" s="156"/>
      <c r="D64" s="157"/>
      <c r="E64" s="97">
        <f ca="1">TblConstr[[#This Row],[Land]]</f>
        <v>250</v>
      </c>
      <c r="F64" s="97">
        <f ca="1">TblPop[[#This Row],[Peasants]]</f>
        <v>1532</v>
      </c>
      <c r="G64" s="97">
        <f ca="1">TblMili[[#This Row],[Networth (2)]]</f>
        <v>5700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Row],[Lumber]]*lumber_rot*(1+Military!$CL$13*Races!$AB$81)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45283.499999999854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45283.541666666519</v>
      </c>
      <c r="C65" s="156"/>
      <c r="D65" s="157"/>
      <c r="E65" s="97">
        <f ca="1">TblConstr[[#This Row],[Land]]</f>
        <v>250</v>
      </c>
      <c r="F65" s="97">
        <f ca="1">TblPop[[#This Row],[Peasants]]</f>
        <v>1532</v>
      </c>
      <c r="G65" s="97">
        <f ca="1">TblMili[[#This Row],[Networth (2)]]</f>
        <v>5700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Row],[Lumber]]*lumber_rot*(1+Military!$CL$13*Races!$AB$81)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45283.541666666519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45283.583333333183</v>
      </c>
      <c r="C66" s="156"/>
      <c r="D66" s="157"/>
      <c r="E66" s="97">
        <f ca="1">TblConstr[[#This Row],[Land]]</f>
        <v>250</v>
      </c>
      <c r="F66" s="97">
        <f ca="1">TblPop[[#This Row],[Peasants]]</f>
        <v>1532</v>
      </c>
      <c r="G66" s="97">
        <f ca="1">TblMili[[#This Row],[Networth (2)]]</f>
        <v>5700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Row],[Lumber]]*lumber_rot*(1+Military!$CL$13*Races!$AB$81)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45283.583333333183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45283.624999999847</v>
      </c>
      <c r="C67" s="156"/>
      <c r="D67" s="157"/>
      <c r="E67" s="97">
        <f ca="1">TblConstr[[#This Row],[Land]]</f>
        <v>250</v>
      </c>
      <c r="F67" s="97">
        <f ca="1">TblPop[[#This Row],[Peasants]]</f>
        <v>1532</v>
      </c>
      <c r="G67" s="97">
        <f ca="1">TblMili[[#This Row],[Networth (2)]]</f>
        <v>5700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Row],[Lumber]]*lumber_rot*(1+Military!$CL$13*Races!$AB$81)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45283.624999999847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45283.666666666511</v>
      </c>
      <c r="C68" s="156"/>
      <c r="D68" s="157"/>
      <c r="E68" s="97">
        <f ca="1">TblConstr[[#This Row],[Land]]</f>
        <v>250</v>
      </c>
      <c r="F68" s="97">
        <f ca="1">TblPop[[#This Row],[Peasants]]</f>
        <v>1532</v>
      </c>
      <c r="G68" s="97">
        <f ca="1">TblMili[[#This Row],[Networth (2)]]</f>
        <v>5700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Row],[Lumber]]*lumber_rot*(1+Military!$CL$13*Races!$AB$81)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45283.666666666511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45283.708333333176</v>
      </c>
      <c r="C69" s="156"/>
      <c r="D69" s="157"/>
      <c r="E69" s="97">
        <f ca="1">TblConstr[[#This Row],[Land]]</f>
        <v>250</v>
      </c>
      <c r="F69" s="97">
        <f ca="1">TblPop[[#This Row],[Peasants]]</f>
        <v>1532</v>
      </c>
      <c r="G69" s="97">
        <f ca="1">TblMili[[#This Row],[Networth (2)]]</f>
        <v>5700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Row],[Lumber]]*lumber_rot*(1+Military!$CL$13*Races!$AB$81)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45283.708333333176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45283.74999999984</v>
      </c>
      <c r="C70" s="156"/>
      <c r="D70" s="157"/>
      <c r="E70" s="97">
        <f ca="1">TblConstr[[#This Row],[Land]]</f>
        <v>250</v>
      </c>
      <c r="F70" s="97">
        <f ca="1">TblPop[[#This Row],[Peasants]]</f>
        <v>1532</v>
      </c>
      <c r="G70" s="97">
        <f ca="1">TblMili[[#This Row],[Networth (2)]]</f>
        <v>5700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Row],[Lumber]]*lumber_rot*(1+Military!$CL$13*Races!$AB$81)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45283.74999999984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45283.791666666504</v>
      </c>
      <c r="C71" s="156"/>
      <c r="D71" s="157"/>
      <c r="E71" s="97">
        <f ca="1">TblConstr[[#This Row],[Land]]</f>
        <v>250</v>
      </c>
      <c r="F71" s="97">
        <f ca="1">TblPop[[#This Row],[Peasants]]</f>
        <v>1532</v>
      </c>
      <c r="G71" s="97">
        <f ca="1">TblMili[[#This Row],[Networth (2)]]</f>
        <v>5700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Row],[Lumber]]*lumber_rot*(1+Military!$CL$13*Races!$AB$81)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45283.791666666504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45283.833333333168</v>
      </c>
      <c r="C72" s="156"/>
      <c r="D72" s="157"/>
      <c r="E72" s="97">
        <f ca="1">TblConstr[[#This Row],[Land]]</f>
        <v>250</v>
      </c>
      <c r="F72" s="97">
        <f ca="1">TblPop[[#This Row],[Peasants]]</f>
        <v>1532</v>
      </c>
      <c r="G72" s="97">
        <f ca="1">TblMili[[#This Row],[Networth (2)]]</f>
        <v>5700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Row],[Lumber]]*lumber_rot*(1+Military!$CL$13*Races!$AB$81)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45283.833333333168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45283.874999999833</v>
      </c>
      <c r="C73" s="156"/>
      <c r="D73" s="157"/>
      <c r="E73" s="97">
        <f ca="1">TblConstr[[#This Row],[Land]]</f>
        <v>250</v>
      </c>
      <c r="F73" s="97">
        <f ca="1">TblPop[[#This Row],[Peasants]]</f>
        <v>1532</v>
      </c>
      <c r="G73" s="97">
        <f ca="1">TblMili[[#This Row],[Networth (2)]]</f>
        <v>5700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Row],[Lumber]]*lumber_rot*(1+Military!$CL$13*Races!$AB$81)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45283.874999999833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45283.916666666497</v>
      </c>
      <c r="C74" s="156"/>
      <c r="D74" s="157"/>
      <c r="E74" s="97">
        <f ca="1">TblConstr[[#This Row],[Land]]</f>
        <v>250</v>
      </c>
      <c r="F74" s="97">
        <f ca="1">TblPop[[#This Row],[Peasants]]</f>
        <v>1532</v>
      </c>
      <c r="G74" s="97">
        <f ca="1">TblMili[[#This Row],[Networth (2)]]</f>
        <v>5700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Row],[Lumber]]*lumber_rot*(1+Military!$CL$13*Races!$AB$81)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45283.916666666497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45283.958333333161</v>
      </c>
      <c r="C75" s="156"/>
      <c r="D75" s="157"/>
      <c r="E75" s="97">
        <f ca="1">TblConstr[[#This Row],[Land]]</f>
        <v>250</v>
      </c>
      <c r="F75" s="97">
        <f ca="1">TblPop[[#This Row],[Peasants]]</f>
        <v>1532</v>
      </c>
      <c r="G75" s="97">
        <f ca="1">TblMili[[#This Row],[Networth (2)]]</f>
        <v>5700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Row],[Lumber]]*lumber_rot*(1+Military!$CL$13*Races!$AB$81)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45283.958333333161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45283.999999999825</v>
      </c>
      <c r="C76" s="164"/>
      <c r="D76" s="165"/>
      <c r="E76" s="35">
        <f ca="1">TblConstr[[#This Row],[Land]]</f>
        <v>250</v>
      </c>
      <c r="F76" s="35">
        <f ca="1">TblPop[[#This Row],[Peasants]]</f>
        <v>1532</v>
      </c>
      <c r="G76" s="35">
        <f ca="1">TblMili[[#This Row],[Networth (2)]]</f>
        <v>5700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Row],[Lumber]]*lumber_rot*(1+Military!$CL$13*Races!$AB$81)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45283.999999999825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45284.04166666649</v>
      </c>
      <c r="C77" s="156"/>
      <c r="D77" s="157"/>
      <c r="E77" s="97">
        <f ca="1">TblConstr[[#This Row],[Land]]</f>
        <v>250</v>
      </c>
      <c r="F77" s="97">
        <f ca="1">TblPop[[#This Row],[Peasants]]</f>
        <v>1532</v>
      </c>
      <c r="G77" s="97">
        <f ca="1">TblMili[[#This Row],[Networth (2)]]</f>
        <v>5700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Row],[Lumber]]*lumber_rot*(1+Military!$CL$13*Races!$AB$81)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45284.04166666649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45284.083333333154</v>
      </c>
      <c r="C78" s="156"/>
      <c r="D78" s="157"/>
      <c r="E78" s="97">
        <f ca="1">TblConstr[[#This Row],[Land]]</f>
        <v>250</v>
      </c>
      <c r="F78" s="97">
        <f ca="1">TblPop[[#This Row],[Peasants]]</f>
        <v>1532</v>
      </c>
      <c r="G78" s="97">
        <f ca="1">TblMili[[#This Row],[Networth (2)]]</f>
        <v>5700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Row],[Lumber]]*lumber_rot*(1+Military!$CL$13*Races!$AB$81)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45284.083333333154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45284.124999999818</v>
      </c>
      <c r="C79" s="156"/>
      <c r="D79" s="157"/>
      <c r="E79" s="97">
        <f ca="1">TblConstr[[#This Row],[Land]]</f>
        <v>250</v>
      </c>
      <c r="F79" s="97">
        <f ca="1">TblPop[[#This Row],[Peasants]]</f>
        <v>1532</v>
      </c>
      <c r="G79" s="97">
        <f ca="1">TblMili[[#This Row],[Networth (2)]]</f>
        <v>5700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Row],[Lumber]]*lumber_rot*(1+Military!$CL$13*Races!$AB$81)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45284.124999999818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45284.166666666482</v>
      </c>
      <c r="C80" s="156"/>
      <c r="D80" s="157"/>
      <c r="E80" s="97">
        <f ca="1">TblConstr[[#This Row],[Land]]</f>
        <v>250</v>
      </c>
      <c r="F80" s="97">
        <f ca="1">TblPop[[#This Row],[Peasants]]</f>
        <v>1532</v>
      </c>
      <c r="G80" s="97">
        <f ca="1">TblMili[[#This Row],[Networth (2)]]</f>
        <v>5700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Row],[Lumber]]*lumber_rot*(1+Military!$CL$13*Races!$AB$81)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45284.166666666482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45284.208333333147</v>
      </c>
      <c r="C81" s="156"/>
      <c r="D81" s="157"/>
      <c r="E81" s="97">
        <f ca="1">TblConstr[[#This Row],[Land]]</f>
        <v>250</v>
      </c>
      <c r="F81" s="97">
        <f ca="1">TblPop[[#This Row],[Peasants]]</f>
        <v>1532</v>
      </c>
      <c r="G81" s="97">
        <f ca="1">TblMili[[#This Row],[Networth (2)]]</f>
        <v>5700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Row],[Lumber]]*lumber_rot*(1+Military!$CL$13*Races!$AB$81)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45284.208333333147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45284.249999999811</v>
      </c>
      <c r="C82" s="156"/>
      <c r="D82" s="157"/>
      <c r="E82" s="97">
        <f ca="1">TblConstr[[#This Row],[Land]]</f>
        <v>250</v>
      </c>
      <c r="F82" s="97">
        <f ca="1">TblPop[[#This Row],[Peasants]]</f>
        <v>1532</v>
      </c>
      <c r="G82" s="97">
        <f ca="1">TblMili[[#This Row],[Networth (2)]]</f>
        <v>5700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Row],[Lumber]]*lumber_rot*(1+Military!$CL$13*Races!$AB$81)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45284.249999999811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45284.291666666475</v>
      </c>
      <c r="C83" s="156"/>
      <c r="D83" s="157"/>
      <c r="E83" s="97">
        <f ca="1">TblConstr[[#This Row],[Land]]</f>
        <v>250</v>
      </c>
      <c r="F83" s="97">
        <f ca="1">TblPop[[#This Row],[Peasants]]</f>
        <v>1532</v>
      </c>
      <c r="G83" s="97">
        <f ca="1">TblMili[[#This Row],[Networth (2)]]</f>
        <v>5700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Row],[Lumber]]*lumber_rot*(1+Military!$CL$13*Races!$AB$81)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45284.291666666475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45284.333333333139</v>
      </c>
      <c r="C84" s="156"/>
      <c r="D84" s="157"/>
      <c r="E84" s="97">
        <f ca="1">TblConstr[[#This Row],[Land]]</f>
        <v>250</v>
      </c>
      <c r="F84" s="97">
        <f ca="1">TblPop[[#This Row],[Peasants]]</f>
        <v>1532</v>
      </c>
      <c r="G84" s="97">
        <f ca="1">TblMili[[#This Row],[Networth (2)]]</f>
        <v>5700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Row],[Lumber]]*lumber_rot*(1+Military!$CL$13*Races!$AB$81)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45284.333333333139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45284.374999999804</v>
      </c>
      <c r="C85" s="156"/>
      <c r="D85" s="157"/>
      <c r="E85" s="97">
        <f ca="1">TblConstr[[#This Row],[Land]]</f>
        <v>250</v>
      </c>
      <c r="F85" s="97">
        <f ca="1">TblPop[[#This Row],[Peasants]]</f>
        <v>1532</v>
      </c>
      <c r="G85" s="97">
        <f ca="1">TblMili[[#This Row],[Networth (2)]]</f>
        <v>5700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Row],[Lumber]]*lumber_rot*(1+Military!$CL$13*Races!$AB$81)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45284.374999999804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45284.416666666468</v>
      </c>
      <c r="C86" s="156"/>
      <c r="D86" s="157"/>
      <c r="E86" s="97">
        <f ca="1">TblConstr[[#This Row],[Land]]</f>
        <v>250</v>
      </c>
      <c r="F86" s="97">
        <f ca="1">TblPop[[#This Row],[Peasants]]</f>
        <v>1532</v>
      </c>
      <c r="G86" s="97">
        <f ca="1">TblMili[[#This Row],[Networth (2)]]</f>
        <v>5700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Row],[Lumber]]*lumber_rot*(1+Military!$CL$13*Races!$AB$81)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45284.416666666468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45284.458333333132</v>
      </c>
      <c r="C87" s="156"/>
      <c r="D87" s="157"/>
      <c r="E87" s="97">
        <f ca="1">TblConstr[[#This Row],[Land]]</f>
        <v>250</v>
      </c>
      <c r="F87" s="97">
        <f ca="1">TblPop[[#This Row],[Peasants]]</f>
        <v>1532</v>
      </c>
      <c r="G87" s="97">
        <f ca="1">TblMili[[#This Row],[Networth (2)]]</f>
        <v>5700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Row],[Lumber]]*lumber_rot*(1+Military!$CL$13*Races!$AB$81)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45284.458333333132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45284.499999999796</v>
      </c>
      <c r="C88" s="156"/>
      <c r="D88" s="157"/>
      <c r="E88" s="97">
        <f ca="1">TblConstr[[#This Row],[Land]]</f>
        <v>250</v>
      </c>
      <c r="F88" s="97">
        <f ca="1">TblPop[[#This Row],[Peasants]]</f>
        <v>1532</v>
      </c>
      <c r="G88" s="97">
        <f ca="1">TblMili[[#This Row],[Networth (2)]]</f>
        <v>5700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Row],[Lumber]]*lumber_rot*(1+Military!$CL$13*Races!$AB$81)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45284.499999999796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45284.541666666461</v>
      </c>
      <c r="C89" s="156"/>
      <c r="D89" s="157"/>
      <c r="E89" s="97">
        <f ca="1">TblConstr[[#This Row],[Land]]</f>
        <v>250</v>
      </c>
      <c r="F89" s="97">
        <f ca="1">TblPop[[#This Row],[Peasants]]</f>
        <v>1532</v>
      </c>
      <c r="G89" s="97">
        <f ca="1">TblMili[[#This Row],[Networth (2)]]</f>
        <v>5700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Row],[Lumber]]*lumber_rot*(1+Military!$CL$13*Races!$AB$81)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45284.541666666461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45284.583333333125</v>
      </c>
      <c r="C90" s="156"/>
      <c r="D90" s="157"/>
      <c r="E90" s="97">
        <f ca="1">TblConstr[[#This Row],[Land]]</f>
        <v>250</v>
      </c>
      <c r="F90" s="97">
        <f ca="1">TblPop[[#This Row],[Peasants]]</f>
        <v>1532</v>
      </c>
      <c r="G90" s="97">
        <f ca="1">TblMili[[#This Row],[Networth (2)]]</f>
        <v>5700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Row],[Lumber]]*lumber_rot*(1+Military!$CL$13*Races!$AB$81)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45284.583333333125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45284.624999999789</v>
      </c>
      <c r="C91" s="156"/>
      <c r="D91" s="157"/>
      <c r="E91" s="97">
        <f ca="1">TblConstr[[#This Row],[Land]]</f>
        <v>250</v>
      </c>
      <c r="F91" s="97">
        <f ca="1">TblPop[[#This Row],[Peasants]]</f>
        <v>1532</v>
      </c>
      <c r="G91" s="97">
        <f ca="1">TblMili[[#This Row],[Networth (2)]]</f>
        <v>5700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Row],[Lumber]]*lumber_rot*(1+Military!$CL$13*Races!$AB$81)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45284.624999999789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45284.666666666453</v>
      </c>
      <c r="C92" s="156"/>
      <c r="D92" s="157"/>
      <c r="E92" s="97">
        <f ca="1">TblConstr[[#This Row],[Land]]</f>
        <v>250</v>
      </c>
      <c r="F92" s="97">
        <f ca="1">TblPop[[#This Row],[Peasants]]</f>
        <v>1532</v>
      </c>
      <c r="G92" s="97">
        <f ca="1">TblMili[[#This Row],[Networth (2)]]</f>
        <v>5700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Row],[Lumber]]*lumber_rot*(1+Military!$CL$13*Races!$AB$81)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45284.666666666453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45284.708333333117</v>
      </c>
      <c r="C93" s="156"/>
      <c r="D93" s="157"/>
      <c r="E93" s="97">
        <f ca="1">TblConstr[[#This Row],[Land]]</f>
        <v>250</v>
      </c>
      <c r="F93" s="97">
        <f ca="1">TblPop[[#This Row],[Peasants]]</f>
        <v>1532</v>
      </c>
      <c r="G93" s="97">
        <f ca="1">TblMili[[#This Row],[Networth (2)]]</f>
        <v>5700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Row],[Lumber]]*lumber_rot*(1+Military!$CL$13*Races!$AB$81)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45284.708333333117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45284.749999999782</v>
      </c>
      <c r="C94" s="156"/>
      <c r="D94" s="157"/>
      <c r="E94" s="97">
        <f ca="1">TblConstr[[#This Row],[Land]]</f>
        <v>250</v>
      </c>
      <c r="F94" s="97">
        <f ca="1">TblPop[[#This Row],[Peasants]]</f>
        <v>1532</v>
      </c>
      <c r="G94" s="97">
        <f ca="1">TblMili[[#This Row],[Networth (2)]]</f>
        <v>5700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Row],[Lumber]]*lumber_rot*(1+Military!$CL$13*Races!$AB$81)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45284.749999999782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45284.791666666446</v>
      </c>
      <c r="C95" s="156"/>
      <c r="D95" s="157"/>
      <c r="E95" s="97">
        <f ca="1">TblConstr[[#This Row],[Land]]</f>
        <v>250</v>
      </c>
      <c r="F95" s="97">
        <f ca="1">TblPop[[#This Row],[Peasants]]</f>
        <v>1532</v>
      </c>
      <c r="G95" s="97">
        <f ca="1">TblMili[[#This Row],[Networth (2)]]</f>
        <v>5700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Row],[Lumber]]*lumber_rot*(1+Military!$CL$13*Races!$AB$81)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45284.791666666446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45284.83333333311</v>
      </c>
      <c r="C96" s="156"/>
      <c r="D96" s="157"/>
      <c r="E96" s="97">
        <f ca="1">TblConstr[[#This Row],[Land]]</f>
        <v>250</v>
      </c>
      <c r="F96" s="97">
        <f ca="1">TblPop[[#This Row],[Peasants]]</f>
        <v>1532</v>
      </c>
      <c r="G96" s="97">
        <f ca="1">TblMili[[#This Row],[Networth (2)]]</f>
        <v>5700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Row],[Lumber]]*lumber_rot*(1+Military!$CL$13*Races!$AB$81)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45284.83333333311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45284.874999999774</v>
      </c>
      <c r="C97" s="156"/>
      <c r="D97" s="157"/>
      <c r="E97" s="97">
        <f ca="1">TblConstr[[#This Row],[Land]]</f>
        <v>250</v>
      </c>
      <c r="F97" s="97">
        <f ca="1">TblPop[[#This Row],[Peasants]]</f>
        <v>1532</v>
      </c>
      <c r="G97" s="97">
        <f ca="1">TblMili[[#This Row],[Networth (2)]]</f>
        <v>5700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Row],[Lumber]]*lumber_rot*(1+Military!$CL$13*Races!$AB$81)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45284.874999999774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45284.916666666439</v>
      </c>
      <c r="C98" s="156"/>
      <c r="D98" s="157"/>
      <c r="E98" s="97">
        <f ca="1">TblConstr[[#This Row],[Land]]</f>
        <v>250</v>
      </c>
      <c r="F98" s="97">
        <f ca="1">TblPop[[#This Row],[Peasants]]</f>
        <v>1532</v>
      </c>
      <c r="G98" s="97">
        <f ca="1">TblMili[[#This Row],[Networth (2)]]</f>
        <v>5700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Row],[Lumber]]*lumber_rot*(1+Military!$CL$13*Races!$AB$81)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45284.916666666439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45284.958333333103</v>
      </c>
      <c r="C99" s="156"/>
      <c r="D99" s="157"/>
      <c r="E99" s="97">
        <f ca="1">TblConstr[[#This Row],[Land]]</f>
        <v>250</v>
      </c>
      <c r="F99" s="97">
        <f ca="1">TblPop[[#This Row],[Peasants]]</f>
        <v>1532</v>
      </c>
      <c r="G99" s="97">
        <f ca="1">TblMili[[#This Row],[Networth (2)]]</f>
        <v>5700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Row],[Lumber]]*lumber_rot*(1+Military!$CL$13*Races!$AB$81)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45284.958333333103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45284.999999999767</v>
      </c>
      <c r="C100" s="156"/>
      <c r="D100" s="157"/>
      <c r="E100" s="97">
        <f ca="1">TblConstr[[#This Row],[Land]]</f>
        <v>250</v>
      </c>
      <c r="F100" s="97">
        <f ca="1">TblPop[[#This Row],[Peasants]]</f>
        <v>1532</v>
      </c>
      <c r="G100" s="97">
        <f ca="1">TblMili[[#This Row],[Networth (2)]]</f>
        <v>5700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Row],[Lumber]]*lumber_rot*(1+Military!$CL$13*Races!$AB$81)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45284.999999999767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45285.041666666431</v>
      </c>
      <c r="C101" s="156"/>
      <c r="D101" s="157"/>
      <c r="E101" s="97">
        <f ca="1">TblConstr[[#This Row],[Land]]</f>
        <v>250</v>
      </c>
      <c r="F101" s="97">
        <f ca="1">TblPop[[#This Row],[Peasants]]</f>
        <v>1532</v>
      </c>
      <c r="G101" s="97">
        <f ca="1">TblMili[[#This Row],[Networth (2)]]</f>
        <v>5700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Row],[Lumber]]*lumber_rot*(1+Military!$CL$13*Races!$AB$81)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45285.041666666431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45285.083333333096</v>
      </c>
      <c r="C102" s="156"/>
      <c r="D102" s="157"/>
      <c r="E102" s="97">
        <f ca="1">TblConstr[[#This Row],[Land]]</f>
        <v>250</v>
      </c>
      <c r="F102" s="97">
        <f ca="1">TblPop[[#This Row],[Peasants]]</f>
        <v>1532</v>
      </c>
      <c r="G102" s="97">
        <f ca="1">TblMili[[#This Row],[Networth (2)]]</f>
        <v>5700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Row],[Lumber]]*lumber_rot*(1+Military!$CL$13*Races!$AB$81)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45285.083333333096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45285.12499999976</v>
      </c>
      <c r="C103" s="156"/>
      <c r="D103" s="157"/>
      <c r="E103" s="97">
        <f ca="1">TblConstr[[#This Row],[Land]]</f>
        <v>250</v>
      </c>
      <c r="F103" s="97">
        <f ca="1">TblPop[[#This Row],[Peasants]]</f>
        <v>1532</v>
      </c>
      <c r="G103" s="97">
        <f ca="1">TblMili[[#This Row],[Networth (2)]]</f>
        <v>5700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Row],[Lumber]]*lumber_rot*(1+Military!$CL$13*Races!$AB$81)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45285.12499999976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45285.166666666424</v>
      </c>
      <c r="C104" s="156"/>
      <c r="D104" s="157"/>
      <c r="E104" s="97">
        <f ca="1">TblConstr[[#This Row],[Land]]</f>
        <v>250</v>
      </c>
      <c r="F104" s="97">
        <f ca="1">TblPop[[#This Row],[Peasants]]</f>
        <v>1532</v>
      </c>
      <c r="G104" s="97">
        <f ca="1">TblMili[[#This Row],[Networth (2)]]</f>
        <v>5700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Row],[Lumber]]*lumber_rot*(1+Military!$CL$13*Races!$AB$81)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45285.166666666424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45285.208333333088</v>
      </c>
      <c r="C105" s="156"/>
      <c r="D105" s="157"/>
      <c r="E105" s="97">
        <f ca="1">TblConstr[[#This Row],[Land]]</f>
        <v>250</v>
      </c>
      <c r="F105" s="97">
        <f ca="1">TblPop[[#This Row],[Peasants]]</f>
        <v>1532</v>
      </c>
      <c r="G105" s="97">
        <f ca="1">TblMili[[#This Row],[Networth (2)]]</f>
        <v>5700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Row],[Lumber]]*lumber_rot*(1+Military!$CL$13*Races!$AB$81)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45285.208333333088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45285.249999999753</v>
      </c>
      <c r="C106" s="156"/>
      <c r="D106" s="157"/>
      <c r="E106" s="97">
        <f ca="1">TblConstr[[#This Row],[Land]]</f>
        <v>250</v>
      </c>
      <c r="F106" s="97">
        <f ca="1">TblPop[[#This Row],[Peasants]]</f>
        <v>1532</v>
      </c>
      <c r="G106" s="97">
        <f ca="1">TblMili[[#This Row],[Networth (2)]]</f>
        <v>5700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Row],[Lumber]]*lumber_rot*(1+Military!$CL$13*Races!$AB$81)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45285.249999999753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45285.291666666417</v>
      </c>
      <c r="C107" s="156"/>
      <c r="D107" s="157"/>
      <c r="E107" s="97">
        <f ca="1">TblConstr[[#This Row],[Land]]</f>
        <v>250</v>
      </c>
      <c r="F107" s="97">
        <f ca="1">TblPop[[#This Row],[Peasants]]</f>
        <v>1532</v>
      </c>
      <c r="G107" s="97">
        <f ca="1">TblMili[[#This Row],[Networth (2)]]</f>
        <v>5700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Row],[Lumber]]*lumber_rot*(1+Military!$CL$13*Races!$AB$81)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45285.291666666417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45285.333333333081</v>
      </c>
      <c r="C108" s="156"/>
      <c r="D108" s="157"/>
      <c r="E108" s="97">
        <f ca="1">TblConstr[[#This Row],[Land]]</f>
        <v>250</v>
      </c>
      <c r="F108" s="97">
        <f ca="1">TblPop[[#This Row],[Peasants]]</f>
        <v>1532</v>
      </c>
      <c r="G108" s="97">
        <f ca="1">TblMili[[#This Row],[Networth (2)]]</f>
        <v>5700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Row],[Lumber]]*lumber_rot*(1+Military!$CL$13*Races!$AB$81)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45285.333333333081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45285.374999999745</v>
      </c>
      <c r="C109" s="156"/>
      <c r="D109" s="157"/>
      <c r="E109" s="97">
        <f ca="1">TblConstr[[#This Row],[Land]]</f>
        <v>250</v>
      </c>
      <c r="F109" s="97">
        <f ca="1">TblPop[[#This Row],[Peasants]]</f>
        <v>1532</v>
      </c>
      <c r="G109" s="97">
        <f ca="1">TblMili[[#This Row],[Networth (2)]]</f>
        <v>5700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Row],[Lumber]]*lumber_rot*(1+Military!$CL$13*Races!$AB$81)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45285.374999999745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45285.41666666641</v>
      </c>
      <c r="C110" s="156"/>
      <c r="D110" s="157"/>
      <c r="E110" s="97">
        <f ca="1">TblConstr[[#This Row],[Land]]</f>
        <v>250</v>
      </c>
      <c r="F110" s="97">
        <f ca="1">TblPop[[#This Row],[Peasants]]</f>
        <v>1532</v>
      </c>
      <c r="G110" s="97">
        <f ca="1">TblMili[[#This Row],[Networth (2)]]</f>
        <v>5700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Row],[Lumber]]*lumber_rot*(1+Military!$CL$13*Races!$AB$81)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45285.41666666641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45285.458333333074</v>
      </c>
      <c r="C111" s="156"/>
      <c r="D111" s="157"/>
      <c r="E111" s="97">
        <f ca="1">TblConstr[[#This Row],[Land]]</f>
        <v>250</v>
      </c>
      <c r="F111" s="97">
        <f ca="1">TblPop[[#This Row],[Peasants]]</f>
        <v>1532</v>
      </c>
      <c r="G111" s="97">
        <f ca="1">TblMili[[#This Row],[Networth (2)]]</f>
        <v>5700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Row],[Lumber]]*lumber_rot*(1+Military!$CL$13*Races!$AB$81)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45285.458333333074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45285.499999999738</v>
      </c>
      <c r="C112" s="156"/>
      <c r="D112" s="157"/>
      <c r="E112" s="97">
        <f ca="1">TblConstr[[#This Row],[Land]]</f>
        <v>250</v>
      </c>
      <c r="F112" s="97">
        <f ca="1">TblPop[[#This Row],[Peasants]]</f>
        <v>1532</v>
      </c>
      <c r="G112" s="97">
        <f ca="1">TblMili[[#This Row],[Networth (2)]]</f>
        <v>5700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Row],[Lumber]]*lumber_rot*(1+Military!$CL$13*Races!$AB$81)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45285.499999999738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45285.541666666402</v>
      </c>
      <c r="C113" s="156"/>
      <c r="D113" s="157"/>
      <c r="E113" s="97">
        <f ca="1">TblConstr[[#This Row],[Land]]</f>
        <v>250</v>
      </c>
      <c r="F113" s="97">
        <f ca="1">TblPop[[#This Row],[Peasants]]</f>
        <v>1532</v>
      </c>
      <c r="G113" s="97">
        <f ca="1">TblMili[[#This Row],[Networth (2)]]</f>
        <v>5700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Row],[Lumber]]*lumber_rot*(1+Military!$CL$13*Races!$AB$81)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45285.541666666402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45285.583333333067</v>
      </c>
      <c r="C114" s="156"/>
      <c r="D114" s="157"/>
      <c r="E114" s="97">
        <f ca="1">TblConstr[[#This Row],[Land]]</f>
        <v>250</v>
      </c>
      <c r="F114" s="97">
        <f ca="1">TblPop[[#This Row],[Peasants]]</f>
        <v>1532</v>
      </c>
      <c r="G114" s="97">
        <f ca="1">TblMili[[#This Row],[Networth (2)]]</f>
        <v>5700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Row],[Lumber]]*lumber_rot*(1+Military!$CL$13*Races!$AB$81)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45285.583333333067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45285.624999999731</v>
      </c>
      <c r="C115" s="156"/>
      <c r="D115" s="157"/>
      <c r="E115" s="97">
        <f ca="1">TblConstr[[#This Row],[Land]]</f>
        <v>250</v>
      </c>
      <c r="F115" s="97">
        <f ca="1">TblPop[[#This Row],[Peasants]]</f>
        <v>1532</v>
      </c>
      <c r="G115" s="97">
        <f ca="1">TblMili[[#This Row],[Networth (2)]]</f>
        <v>5700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Row],[Lumber]]*lumber_rot*(1+Military!$CL$13*Races!$AB$81)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45285.624999999731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45285.666666666395</v>
      </c>
      <c r="C116" s="156"/>
      <c r="D116" s="157"/>
      <c r="E116" s="97">
        <f ca="1">TblConstr[[#This Row],[Land]]</f>
        <v>250</v>
      </c>
      <c r="F116" s="97">
        <f ca="1">TblPop[[#This Row],[Peasants]]</f>
        <v>1532</v>
      </c>
      <c r="G116" s="97">
        <f ca="1">TblMili[[#This Row],[Networth (2)]]</f>
        <v>5700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Row],[Lumber]]*lumber_rot*(1+Military!$CL$13*Races!$AB$81)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45285.666666666395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45285.708333333059</v>
      </c>
      <c r="C117" s="156"/>
      <c r="D117" s="157"/>
      <c r="E117" s="97">
        <f ca="1">TblConstr[[#This Row],[Land]]</f>
        <v>250</v>
      </c>
      <c r="F117" s="97">
        <f ca="1">TblPop[[#This Row],[Peasants]]</f>
        <v>1532</v>
      </c>
      <c r="G117" s="97">
        <f ca="1">TblMili[[#This Row],[Networth (2)]]</f>
        <v>5700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Row],[Lumber]]*lumber_rot*(1+Military!$CL$13*Races!$AB$81)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45285.708333333059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45285.749999999724</v>
      </c>
      <c r="C118" s="156"/>
      <c r="D118" s="157"/>
      <c r="E118" s="97">
        <f ca="1">TblConstr[[#This Row],[Land]]</f>
        <v>250</v>
      </c>
      <c r="F118" s="97">
        <f ca="1">TblPop[[#This Row],[Peasants]]</f>
        <v>1532</v>
      </c>
      <c r="G118" s="97">
        <f ca="1">TblMili[[#This Row],[Networth (2)]]</f>
        <v>5700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Row],[Lumber]]*lumber_rot*(1+Military!$CL$13*Races!$AB$81)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45285.749999999724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45285.791666666388</v>
      </c>
      <c r="C119" s="156"/>
      <c r="D119" s="157"/>
      <c r="E119" s="97">
        <f ca="1">TblConstr[[#This Row],[Land]]</f>
        <v>250</v>
      </c>
      <c r="F119" s="97">
        <f ca="1">TblPop[[#This Row],[Peasants]]</f>
        <v>1532</v>
      </c>
      <c r="G119" s="97">
        <f ca="1">TblMili[[#This Row],[Networth (2)]]</f>
        <v>5700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Row],[Lumber]]*lumber_rot*(1+Military!$CL$13*Races!$AB$81)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45285.791666666388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45285.833333333052</v>
      </c>
      <c r="C120" s="156"/>
      <c r="D120" s="157"/>
      <c r="E120" s="97">
        <f ca="1">TblConstr[[#This Row],[Land]]</f>
        <v>250</v>
      </c>
      <c r="F120" s="97">
        <f ca="1">TblPop[[#This Row],[Peasants]]</f>
        <v>1532</v>
      </c>
      <c r="G120" s="97">
        <f ca="1">TblMili[[#This Row],[Networth (2)]]</f>
        <v>5700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Row],[Lumber]]*lumber_rot*(1+Military!$CL$13*Races!$AB$81)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45285.833333333052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45285.874999999716</v>
      </c>
      <c r="C121" s="156"/>
      <c r="D121" s="157"/>
      <c r="E121" s="97">
        <f ca="1">TblConstr[[#This Row],[Land]]</f>
        <v>250</v>
      </c>
      <c r="F121" s="97">
        <f ca="1">TblPop[[#This Row],[Peasants]]</f>
        <v>1532</v>
      </c>
      <c r="G121" s="97">
        <f ca="1">TblMili[[#This Row],[Networth (2)]]</f>
        <v>5700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Row],[Lumber]]*lumber_rot*(1+Military!$CL$13*Races!$AB$81)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45285.874999999716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45285.91666666638</v>
      </c>
      <c r="C122" s="156"/>
      <c r="D122" s="157"/>
      <c r="E122" s="97">
        <f ca="1">TblConstr[[#This Row],[Land]]</f>
        <v>250</v>
      </c>
      <c r="F122" s="97">
        <f ca="1">TblPop[[#This Row],[Peasants]]</f>
        <v>1532</v>
      </c>
      <c r="G122" s="97">
        <f ca="1">TblMili[[#This Row],[Networth (2)]]</f>
        <v>5700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Row],[Lumber]]*lumber_rot*(1+Military!$CL$13*Races!$AB$81)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45285.91666666638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45285.958333333045</v>
      </c>
      <c r="C123" s="156"/>
      <c r="D123" s="157"/>
      <c r="E123" s="97">
        <f ca="1">TblConstr[[#This Row],[Land]]</f>
        <v>250</v>
      </c>
      <c r="F123" s="97">
        <f ca="1">TblPop[[#This Row],[Peasants]]</f>
        <v>1532</v>
      </c>
      <c r="G123" s="97">
        <f ca="1">TblMili[[#This Row],[Networth (2)]]</f>
        <v>5700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Row],[Lumber]]*lumber_rot*(1+Military!$CL$13*Races!$AB$81)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45285.958333333045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45285.999999999709</v>
      </c>
      <c r="C124" s="156"/>
      <c r="D124" s="157"/>
      <c r="E124" s="97">
        <f ca="1">TblConstr[[#This Row],[Land]]</f>
        <v>250</v>
      </c>
      <c r="F124" s="97">
        <f ca="1">TblPop[[#This Row],[Peasants]]</f>
        <v>1532</v>
      </c>
      <c r="G124" s="97">
        <f ca="1">TblMili[[#This Row],[Networth (2)]]</f>
        <v>5700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Row],[Lumber]]*lumber_rot*(1+Military!$CL$13*Races!$AB$81)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45285.999999999709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45286.041666666373</v>
      </c>
      <c r="C125" s="156"/>
      <c r="D125" s="157"/>
      <c r="E125" s="97">
        <f ca="1">TblConstr[[#This Row],[Land]]</f>
        <v>250</v>
      </c>
      <c r="F125" s="97">
        <f ca="1">TblPop[[#This Row],[Peasants]]</f>
        <v>1532</v>
      </c>
      <c r="G125" s="97">
        <f ca="1">TblMili[[#This Row],[Networth (2)]]</f>
        <v>5700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Row],[Lumber]]*lumber_rot*(1+Military!$CL$13*Races!$AB$81)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45286.041666666373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45286.083333333037</v>
      </c>
      <c r="C126" s="156"/>
      <c r="D126" s="157"/>
      <c r="E126" s="97">
        <f ca="1">TblConstr[[#This Row],[Land]]</f>
        <v>250</v>
      </c>
      <c r="F126" s="97">
        <f ca="1">TblPop[[#This Row],[Peasants]]</f>
        <v>1532</v>
      </c>
      <c r="G126" s="97">
        <f ca="1">TblMili[[#This Row],[Networth (2)]]</f>
        <v>5700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Row],[Lumber]]*lumber_rot*(1+Military!$CL$13*Races!$AB$81)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45286.083333333037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45286.124999999702</v>
      </c>
      <c r="C127" s="156"/>
      <c r="D127" s="157"/>
      <c r="E127" s="97">
        <f ca="1">TblConstr[[#This Row],[Land]]</f>
        <v>250</v>
      </c>
      <c r="F127" s="97">
        <f ca="1">TblPop[[#This Row],[Peasants]]</f>
        <v>1532</v>
      </c>
      <c r="G127" s="97">
        <f ca="1">TblMili[[#This Row],[Networth (2)]]</f>
        <v>5700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Row],[Lumber]]*lumber_rot*(1+Military!$CL$13*Races!$AB$81)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45286.124999999702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45286.166666666366</v>
      </c>
      <c r="C128" s="156"/>
      <c r="D128" s="157"/>
      <c r="E128" s="97">
        <f ca="1">TblConstr[[#This Row],[Land]]</f>
        <v>250</v>
      </c>
      <c r="F128" s="97">
        <f ca="1">TblPop[[#This Row],[Peasants]]</f>
        <v>1532</v>
      </c>
      <c r="G128" s="97">
        <f ca="1">TblMili[[#This Row],[Networth (2)]]</f>
        <v>5700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Row],[Lumber]]*lumber_rot*(1+Military!$CL$13*Races!$AB$81)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45286.166666666366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45286.20833333303</v>
      </c>
      <c r="C129" s="156"/>
      <c r="D129" s="157"/>
      <c r="E129" s="97">
        <f ca="1">TblConstr[[#This Row],[Land]]</f>
        <v>250</v>
      </c>
      <c r="F129" s="97">
        <f ca="1">TblPop[[#This Row],[Peasants]]</f>
        <v>1532</v>
      </c>
      <c r="G129" s="97">
        <f ca="1">TblMili[[#This Row],[Networth (2)]]</f>
        <v>5700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Row],[Lumber]]*lumber_rot*(1+Military!$CL$13*Races!$AB$81)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45286.20833333303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45286.249999999694</v>
      </c>
      <c r="C130" s="156"/>
      <c r="D130" s="157"/>
      <c r="E130" s="97">
        <f ca="1">TblConstr[[#This Row],[Land]]</f>
        <v>250</v>
      </c>
      <c r="F130" s="97">
        <f ca="1">TblPop[[#This Row],[Peasants]]</f>
        <v>1532</v>
      </c>
      <c r="G130" s="97">
        <f ca="1">TblMili[[#This Row],[Networth (2)]]</f>
        <v>5700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Row],[Lumber]]*lumber_rot*(1+Military!$CL$13*Races!$AB$81)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45286.249999999694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45286.291666666359</v>
      </c>
      <c r="C131" s="156"/>
      <c r="D131" s="157"/>
      <c r="E131" s="97">
        <f ca="1">TblConstr[[#This Row],[Land]]</f>
        <v>250</v>
      </c>
      <c r="F131" s="97">
        <f ca="1">TblPop[[#This Row],[Peasants]]</f>
        <v>1532</v>
      </c>
      <c r="G131" s="97">
        <f ca="1">TblMili[[#This Row],[Networth (2)]]</f>
        <v>5700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Row],[Lumber]]*lumber_rot*(1+Military!$CL$13*Races!$AB$81)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45286.291666666359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45286.333333333023</v>
      </c>
      <c r="C132" s="156"/>
      <c r="D132" s="157"/>
      <c r="E132" s="97">
        <f ca="1">TblConstr[[#This Row],[Land]]</f>
        <v>250</v>
      </c>
      <c r="F132" s="97">
        <f ca="1">TblPop[[#This Row],[Peasants]]</f>
        <v>1532</v>
      </c>
      <c r="G132" s="97">
        <f ca="1">TblMili[[#This Row],[Networth (2)]]</f>
        <v>5700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Row],[Lumber]]*lumber_rot*(1+Military!$CL$13*Races!$AB$81)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45286.333333333023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45286.374999999687</v>
      </c>
      <c r="C133" s="156"/>
      <c r="D133" s="157"/>
      <c r="E133" s="97">
        <f ca="1">TblConstr[[#This Row],[Land]]</f>
        <v>250</v>
      </c>
      <c r="F133" s="97">
        <f ca="1">TblPop[[#This Row],[Peasants]]</f>
        <v>1532</v>
      </c>
      <c r="G133" s="97">
        <f ca="1">TblMili[[#This Row],[Networth (2)]]</f>
        <v>5700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Row],[Lumber]]*lumber_rot*(1+Military!$CL$13*Races!$AB$81)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45286.374999999687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45286.416666666351</v>
      </c>
      <c r="C134" s="156"/>
      <c r="D134" s="157"/>
      <c r="E134" s="97">
        <f ca="1">TblConstr[[#This Row],[Land]]</f>
        <v>250</v>
      </c>
      <c r="F134" s="97">
        <f ca="1">TblPop[[#This Row],[Peasants]]</f>
        <v>1532</v>
      </c>
      <c r="G134" s="97">
        <f ca="1">TblMili[[#This Row],[Networth (2)]]</f>
        <v>5700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Row],[Lumber]]*lumber_rot*(1+Military!$CL$13*Races!$AB$81)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45286.416666666351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45286.458333333016</v>
      </c>
      <c r="C135" s="156"/>
      <c r="D135" s="157"/>
      <c r="E135" s="97">
        <f ca="1">TblConstr[[#This Row],[Land]]</f>
        <v>250</v>
      </c>
      <c r="F135" s="97">
        <f ca="1">TblPop[[#This Row],[Peasants]]</f>
        <v>1532</v>
      </c>
      <c r="G135" s="97">
        <f ca="1">TblMili[[#This Row],[Networth (2)]]</f>
        <v>5700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Row],[Lumber]]*lumber_rot*(1+Military!$CL$13*Races!$AB$81)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45286.458333333016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45286.49999999968</v>
      </c>
      <c r="C136" s="156"/>
      <c r="D136" s="157"/>
      <c r="E136" s="97">
        <f ca="1">TblConstr[[#This Row],[Land]]</f>
        <v>250</v>
      </c>
      <c r="F136" s="97">
        <f ca="1">TblPop[[#This Row],[Peasants]]</f>
        <v>1532</v>
      </c>
      <c r="G136" s="97">
        <f ca="1">TblMili[[#This Row],[Networth (2)]]</f>
        <v>5700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Row],[Lumber]]*lumber_rot*(1+Military!$CL$13*Races!$AB$81)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45286.49999999968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6" t="s">
        <v>317</v>
      </c>
      <c r="D1269" s="453"/>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53"/>
      <c r="R1" s="5"/>
      <c r="S1" s="5"/>
      <c r="T1" s="5"/>
      <c r="U1" s="5"/>
      <c r="V1" s="5"/>
      <c r="W1" s="5"/>
      <c r="X1" s="5"/>
      <c r="Y1" s="5"/>
      <c r="Z1" s="5"/>
      <c r="AA1" s="5"/>
      <c r="AB1" s="5"/>
      <c r="AC1" s="5"/>
      <c r="AD1" s="5"/>
      <c r="AE1" s="5"/>
      <c r="AF1" s="5"/>
      <c r="AG1" s="5"/>
      <c r="AH1" s="5"/>
      <c r="AI1" s="177" t="s">
        <v>516</v>
      </c>
      <c r="AJ1" s="177" t="s">
        <v>519</v>
      </c>
      <c r="AK1" s="499" t="s">
        <v>77</v>
      </c>
      <c r="AL1" s="499"/>
      <c r="AM1" s="497" t="s">
        <v>517</v>
      </c>
      <c r="AN1" s="497"/>
      <c r="AO1" s="497" t="s">
        <v>518</v>
      </c>
      <c r="AP1" s="497"/>
      <c r="AQ1" s="497" t="s">
        <v>515</v>
      </c>
      <c r="AR1" s="497"/>
      <c r="AS1" s="5"/>
      <c r="AT1" s="5"/>
      <c r="AU1" s="5"/>
      <c r="AV1" s="5" t="s">
        <v>514</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534</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1008</v>
      </c>
      <c r="E3" s="138" t="s">
        <v>775</v>
      </c>
      <c r="F3" s="138" t="s">
        <v>1</v>
      </c>
      <c r="G3" s="173" t="s">
        <v>245</v>
      </c>
      <c r="H3" s="138" t="s">
        <v>58</v>
      </c>
      <c r="I3" s="138" t="s">
        <v>247</v>
      </c>
      <c r="J3" s="138" t="s">
        <v>246</v>
      </c>
      <c r="K3" s="138" t="s">
        <v>60</v>
      </c>
      <c r="L3" s="138" t="s">
        <v>244</v>
      </c>
      <c r="M3" s="138" t="s">
        <v>62</v>
      </c>
      <c r="N3" s="138" t="s">
        <v>1052</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817</v>
      </c>
      <c r="AJ3" s="138" t="s">
        <v>818</v>
      </c>
      <c r="AK3" s="138" t="s">
        <v>2</v>
      </c>
      <c r="AL3" s="138" t="s">
        <v>7</v>
      </c>
      <c r="AM3" s="138" t="s">
        <v>813</v>
      </c>
      <c r="AN3" s="138" t="s">
        <v>814</v>
      </c>
      <c r="AO3" s="138" t="s">
        <v>815</v>
      </c>
      <c r="AP3" s="138" t="s">
        <v>816</v>
      </c>
      <c r="AQ3" s="138" t="s">
        <v>1040</v>
      </c>
      <c r="AR3" s="138" t="s">
        <v>1041</v>
      </c>
      <c r="AS3" s="138" t="s">
        <v>520</v>
      </c>
      <c r="AT3" s="138" t="s">
        <v>521</v>
      </c>
      <c r="AU3" s="138" t="s">
        <v>776</v>
      </c>
      <c r="AV3" s="138" t="s">
        <v>819</v>
      </c>
      <c r="AW3" s="138" t="s">
        <v>820</v>
      </c>
      <c r="AX3" s="138" t="s">
        <v>777</v>
      </c>
      <c r="AY3" s="173" t="s">
        <v>821</v>
      </c>
      <c r="AZ3" s="138" t="s">
        <v>822</v>
      </c>
      <c r="BA3" s="138" t="s">
        <v>823</v>
      </c>
      <c r="BB3" s="138" t="s">
        <v>824</v>
      </c>
      <c r="BC3" s="138" t="s">
        <v>825</v>
      </c>
      <c r="BD3" s="138" t="s">
        <v>826</v>
      </c>
      <c r="BE3" s="138" t="s">
        <v>827</v>
      </c>
      <c r="BF3" s="138" t="s">
        <v>828</v>
      </c>
      <c r="BG3" s="138" t="s">
        <v>829</v>
      </c>
      <c r="BH3" s="138" t="s">
        <v>830</v>
      </c>
      <c r="BI3" s="138" t="s">
        <v>831</v>
      </c>
      <c r="BJ3" s="138" t="s">
        <v>832</v>
      </c>
      <c r="BK3" s="138" t="s">
        <v>833</v>
      </c>
      <c r="BL3" s="138" t="s">
        <v>834</v>
      </c>
      <c r="BM3" s="138" t="s">
        <v>835</v>
      </c>
      <c r="BN3" s="138" t="s">
        <v>836</v>
      </c>
      <c r="BO3" s="138" t="s">
        <v>837</v>
      </c>
      <c r="BP3" s="138" t="s">
        <v>838</v>
      </c>
      <c r="BQ3" s="175" t="s">
        <v>839</v>
      </c>
      <c r="BR3" s="138" t="s">
        <v>792</v>
      </c>
      <c r="BS3" s="138" t="s">
        <v>793</v>
      </c>
      <c r="BT3" s="138" t="s">
        <v>884</v>
      </c>
      <c r="BU3" s="138" t="s">
        <v>862</v>
      </c>
      <c r="BV3" s="138" t="s">
        <v>794</v>
      </c>
      <c r="BW3" s="138" t="s">
        <v>1023</v>
      </c>
      <c r="BX3" s="138" t="s">
        <v>905</v>
      </c>
      <c r="BY3" s="138" t="s">
        <v>906</v>
      </c>
      <c r="BZ3" s="138" t="s">
        <v>907</v>
      </c>
      <c r="CA3" s="138" t="s">
        <v>908</v>
      </c>
      <c r="CB3" s="138" t="s">
        <v>909</v>
      </c>
      <c r="CC3" s="138" t="s">
        <v>910</v>
      </c>
      <c r="CD3" s="138" t="s">
        <v>911</v>
      </c>
      <c r="CE3" s="138" t="s">
        <v>912</v>
      </c>
      <c r="CF3" s="138" t="s">
        <v>913</v>
      </c>
      <c r="CG3" s="138" t="s">
        <v>914</v>
      </c>
      <c r="CH3" s="138" t="s">
        <v>915</v>
      </c>
      <c r="CI3" s="138" t="s">
        <v>916</v>
      </c>
      <c r="CJ3" s="138" t="s">
        <v>917</v>
      </c>
      <c r="CK3" s="138" t="s">
        <v>918</v>
      </c>
      <c r="CL3" s="138" t="s">
        <v>919</v>
      </c>
      <c r="CM3" s="138" t="s">
        <v>920</v>
      </c>
      <c r="CN3" s="138" t="s">
        <v>921</v>
      </c>
      <c r="CO3" s="138" t="s">
        <v>922</v>
      </c>
      <c r="CP3" s="138" t="s">
        <v>868</v>
      </c>
      <c r="CQ3" s="138" t="s">
        <v>805</v>
      </c>
      <c r="CR3" s="138" t="s">
        <v>806</v>
      </c>
      <c r="CS3" s="138" t="s">
        <v>807</v>
      </c>
      <c r="CT3" s="138" t="s">
        <v>808</v>
      </c>
      <c r="CU3" s="138" t="s">
        <v>809</v>
      </c>
      <c r="CV3" s="138" t="s">
        <v>810</v>
      </c>
      <c r="CW3" s="138" t="s">
        <v>811</v>
      </c>
      <c r="CX3" s="138" t="s">
        <v>259</v>
      </c>
      <c r="CY3" s="138" t="s">
        <v>869</v>
      </c>
      <c r="CZ3" s="138" t="s">
        <v>873</v>
      </c>
      <c r="DA3" s="138" t="s">
        <v>874</v>
      </c>
      <c r="DB3" s="138" t="s">
        <v>875</v>
      </c>
      <c r="DC3" s="138" t="s">
        <v>876</v>
      </c>
      <c r="DD3" s="138" t="s">
        <v>877</v>
      </c>
      <c r="DE3" s="138" t="s">
        <v>878</v>
      </c>
      <c r="DF3" s="138" t="s">
        <v>879</v>
      </c>
      <c r="DG3" s="138" t="s">
        <v>812</v>
      </c>
      <c r="DH3" s="138" t="s">
        <v>297</v>
      </c>
      <c r="DI3" s="138" t="s">
        <v>535</v>
      </c>
      <c r="DJ3" s="138" t="s">
        <v>536</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45281</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45281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45281.041666666664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45281.041666666664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45281.083333333328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45281.083333333328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45281.124999999993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45281.124999999993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45281.166666666657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45281.166666666657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45281.208333333321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45281.208333333321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45281.249999999985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45281.249999999985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45281.29166666665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45281.29166666665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45281.333333333314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45281.333333333314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45281.374999999978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45281.374999999978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45281.416666666642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45281.416666666642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45281.458333333307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45281.458333333307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45281.499999999971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45281.499999999971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45281.541666666635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45281.541666666635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45281.583333333299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45281.583333333299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45281.624999999964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45281.624999999964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45281.666666666628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45281.666666666628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45281.708333333292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45281.708333333292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45281.749999999956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45281.749999999956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45281.791666666621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45281.791666666621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45281.833333333285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45281.833333333285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45281.874999999949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45281.874999999949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45281.916666666613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45281.916666666613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45281.958333333278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45281.958333333278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45281.999999999942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45281.999999999942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45282.041666666606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45282.041666666606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45282.08333333327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45282.08333333327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45282.124999999935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45282.124999999935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45282.166666666599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45282.166666666599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45282.208333333263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45282.208333333263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45282.249999999927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45282.249999999927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45282.291666666591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45282.291666666591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45282.333333333256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45282.333333333256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45282.37499999992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45282.37499999992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45282.416666666584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45282.416666666584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45282.458333333248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45282.458333333248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45282.499999999913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45282.499999999913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45282.541666666577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45282.541666666577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45282.583333333241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45282.583333333241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45282.624999999905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45282.624999999905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45282.66666666657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45282.66666666657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45282.708333333234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45282.708333333234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45282.749999999898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45282.749999999898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45282.791666666562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45282.791666666562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45282.833333333227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45282.833333333227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45282.874999999891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45282.874999999891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45282.916666666555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45282.916666666555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45282.958333333219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45282.958333333219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45282.999999999884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45282.999999999884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45283.041666666548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45283.041666666548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45283.083333333212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45283.083333333212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45283.124999999876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45283.124999999876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45283.166666666541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45283.166666666541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45283.208333333205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45283.208333333205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45283.249999999869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45283.249999999869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45283.291666666533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45283.291666666533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45283.333333333198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45283.333333333198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45283.374999999862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45283.374999999862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45283.416666666526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45283.416666666526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45283.45833333319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45283.45833333319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45283.499999999854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45283.499999999854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45283.541666666519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45283.541666666519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45283.583333333183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45283.583333333183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45283.624999999847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45283.624999999847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45283.666666666511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45283.666666666511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45283.708333333176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45283.708333333176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45283.74999999984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45283.74999999984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45283.791666666504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45283.791666666504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45283.833333333168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45283.833333333168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45283.874999999833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45283.874999999833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45283.916666666497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45283.916666666497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45283.958333333161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45283.958333333161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45283.999999999825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45283.999999999825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45284.04166666649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45284.04166666649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45284.083333333154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45284.083333333154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45284.124999999818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45284.124999999818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45284.166666666482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45284.166666666482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45284.208333333147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45284.208333333147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45284.249999999811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45284.249999999811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45284.291666666475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45284.291666666475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45284.333333333139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45284.333333333139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45284.374999999804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45284.374999999804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45284.416666666468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45284.416666666468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45284.458333333132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45284.458333333132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45284.499999999796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45284.499999999796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45284.541666666461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45284.541666666461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45284.583333333125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45284.583333333125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45284.624999999789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45284.624999999789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45284.666666666453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45284.666666666453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45284.708333333117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45284.708333333117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45284.749999999782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45284.749999999782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45284.791666666446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45284.791666666446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45284.83333333311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45284.83333333311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45284.874999999774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45284.874999999774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45284.916666666439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45284.916666666439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45284.958333333103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45284.958333333103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45284.999999999767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45284.999999999767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45285.041666666431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45285.041666666431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45285.083333333096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45285.083333333096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45285.12499999976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45285.12499999976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45285.166666666424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45285.166666666424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45285.208333333088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45285.208333333088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45285.249999999753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45285.249999999753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45285.291666666417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45285.291666666417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45285.333333333081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45285.333333333081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45285.374999999745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45285.374999999745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45285.41666666641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45285.41666666641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45285.458333333074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45285.458333333074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45285.499999999738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45285.499999999738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45285.541666666402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45285.541666666402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45285.583333333067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45285.583333333067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45285.624999999731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45285.624999999731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45285.666666666395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45285.666666666395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45285.708333333059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45285.708333333059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45285.749999999724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45285.749999999724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45285.791666666388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45285.791666666388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45285.833333333052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45285.833333333052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45285.874999999716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45285.874999999716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45285.91666666638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45285.91666666638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45285.958333333045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45285.958333333045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45285.999999999709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45285.999999999709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45286.041666666373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45286.041666666373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45286.083333333037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45286.083333333037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45286.124999999702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45286.124999999702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45286.166666666366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45286.166666666366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45286.20833333303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45286.20833333303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45286.249999999694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45286.249999999694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45286.291666666359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45286.291666666359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45286.333333333023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45286.333333333023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45286.374999999687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45286.374999999687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45286.416666666351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45286.416666666351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45286.458333333016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45286.458333333016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45286.49999999968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45286.49999999968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53"/>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L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8" s="5" customFormat="1" x14ac:dyDescent="0.2">
      <c r="A1" s="28"/>
      <c r="B1" s="28"/>
      <c r="D1" s="5" t="s">
        <v>54</v>
      </c>
      <c r="K1" s="219"/>
      <c r="L1" s="500" t="s">
        <v>302</v>
      </c>
      <c r="M1" s="453"/>
      <c r="N1" s="453"/>
      <c r="O1" s="453"/>
      <c r="P1" s="453"/>
      <c r="Q1" s="453"/>
      <c r="R1" s="28"/>
      <c r="S1" s="5" t="s">
        <v>356</v>
      </c>
      <c r="T1" s="5" t="s">
        <v>177</v>
      </c>
      <c r="AB1" s="499" t="s">
        <v>77</v>
      </c>
      <c r="AC1" s="499"/>
      <c r="AF1" s="5" t="s">
        <v>33</v>
      </c>
    </row>
    <row r="2" spans="1:38" s="5" customFormat="1" x14ac:dyDescent="0.2">
      <c r="A2" s="28"/>
      <c r="B2" s="28"/>
      <c r="K2" s="219"/>
      <c r="L2" s="220"/>
      <c r="M2" s="221"/>
      <c r="N2" s="45"/>
      <c r="O2" s="45"/>
      <c r="P2" s="45"/>
      <c r="Q2" s="57"/>
      <c r="R2" s="28"/>
    </row>
    <row r="3" spans="1:38" s="138" customFormat="1" ht="15" customHeight="1" x14ac:dyDescent="0.2">
      <c r="A3" s="138" t="s">
        <v>0</v>
      </c>
      <c r="B3" s="138" t="s">
        <v>1</v>
      </c>
      <c r="C3" s="138" t="s">
        <v>775</v>
      </c>
      <c r="D3" s="138" t="s">
        <v>55</v>
      </c>
      <c r="E3" s="138" t="s">
        <v>58</v>
      </c>
      <c r="F3" s="138" t="s">
        <v>1031</v>
      </c>
      <c r="G3" s="138" t="s">
        <v>59</v>
      </c>
      <c r="H3" s="138" t="s">
        <v>60</v>
      </c>
      <c r="I3" s="138" t="s">
        <v>61</v>
      </c>
      <c r="J3" s="138" t="s">
        <v>62</v>
      </c>
      <c r="K3" s="222" t="s">
        <v>880</v>
      </c>
      <c r="L3" s="222" t="s">
        <v>881</v>
      </c>
      <c r="M3" s="222" t="s">
        <v>882</v>
      </c>
      <c r="N3" s="223" t="s">
        <v>185</v>
      </c>
      <c r="O3" s="223" t="s">
        <v>366</v>
      </c>
      <c r="P3" s="223" t="s">
        <v>365</v>
      </c>
      <c r="Q3" s="138" t="s">
        <v>884</v>
      </c>
      <c r="R3" s="138" t="s">
        <v>857</v>
      </c>
      <c r="S3" s="138" t="s">
        <v>885</v>
      </c>
      <c r="T3" s="138" t="s">
        <v>1024</v>
      </c>
      <c r="U3" s="138" t="s">
        <v>1025</v>
      </c>
      <c r="V3" s="138" t="s">
        <v>1026</v>
      </c>
      <c r="W3" s="138" t="s">
        <v>1027</v>
      </c>
      <c r="X3" s="138" t="s">
        <v>1028</v>
      </c>
      <c r="Y3" s="138" t="s">
        <v>1029</v>
      </c>
      <c r="Z3" s="138" t="s">
        <v>1030</v>
      </c>
      <c r="AA3" s="138" t="s">
        <v>312</v>
      </c>
      <c r="AB3" s="138" t="s">
        <v>24</v>
      </c>
      <c r="AC3" s="138" t="s">
        <v>2</v>
      </c>
      <c r="AD3" s="138" t="s">
        <v>776</v>
      </c>
      <c r="AE3" s="138" t="s">
        <v>511</v>
      </c>
      <c r="AF3" s="138" t="s">
        <v>57</v>
      </c>
      <c r="AG3" s="138" t="s">
        <v>179</v>
      </c>
      <c r="AH3" s="138" t="s">
        <v>883</v>
      </c>
      <c r="AI3" s="138" t="s">
        <v>870</v>
      </c>
      <c r="AJ3" s="224" t="s">
        <v>763</v>
      </c>
    </row>
    <row r="4" spans="1:38"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45281</v>
      </c>
      <c r="AB4" s="97">
        <f ca="1">TblMili[[#This Row],[Draftees]]</f>
        <v>250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62</v>
      </c>
    </row>
    <row r="5" spans="1:38"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45281.041666666664</v>
      </c>
      <c r="AB5" s="97">
        <f ca="1">TblMili[[#This Row],[Draftees]]</f>
        <v>263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65</v>
      </c>
    </row>
    <row r="6" spans="1:38"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45281.083333333328</v>
      </c>
      <c r="AB6" s="97">
        <f ca="1">TblMili[[#This Row],[Draftees]]</f>
        <v>276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69</v>
      </c>
    </row>
    <row r="7" spans="1:38"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45281.124999999993</v>
      </c>
      <c r="AB7" s="97">
        <f ca="1">TblMili[[#This Row],[Draftees]]</f>
        <v>290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72</v>
      </c>
    </row>
    <row r="8" spans="1:38"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45281.166666666657</v>
      </c>
      <c r="AB8" s="97">
        <f ca="1">TblMili[[#This Row],[Draftees]]</f>
        <v>304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76</v>
      </c>
    </row>
    <row r="9" spans="1:38"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45281.208333333321</v>
      </c>
      <c r="AB9" s="97">
        <f ca="1">TblMili[[#This Row],[Draftees]]</f>
        <v>318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79</v>
      </c>
    </row>
    <row r="10" spans="1:38"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45281.249999999985</v>
      </c>
      <c r="AB10" s="97">
        <f ca="1">TblMili[[#This Row],[Draftees]]</f>
        <v>332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83</v>
      </c>
    </row>
    <row r="11" spans="1:38"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45281.29166666665</v>
      </c>
      <c r="AB11" s="97">
        <f ca="1">TblMili[[#This Row],[Draftees]]</f>
        <v>347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86</v>
      </c>
    </row>
    <row r="12" spans="1:38"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45281.333333333314</v>
      </c>
      <c r="AB12" s="97">
        <f ca="1">TblMili[[#This Row],[Draftees]]</f>
        <v>362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90</v>
      </c>
      <c r="AL12" s="97"/>
    </row>
    <row r="13" spans="1:38"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45281.374999999978</v>
      </c>
      <c r="AB13" s="97">
        <f ca="1">TblMili[[#This Row],[Draftees]]</f>
        <v>377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94</v>
      </c>
      <c r="AL13" s="97"/>
    </row>
    <row r="14" spans="1:38"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45281.416666666642</v>
      </c>
      <c r="AB14" s="97">
        <f ca="1">TblMili[[#This Row],[Draftees]]</f>
        <v>392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98</v>
      </c>
      <c r="AL14" s="97"/>
    </row>
    <row r="15" spans="1:38"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45281.458333333307</v>
      </c>
      <c r="AB15" s="97">
        <f ca="1">TblMili[[#This Row],[Draftees]]</f>
        <v>408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102</v>
      </c>
      <c r="AL15" s="97"/>
    </row>
    <row r="16" spans="1:38"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45281.499999999971</v>
      </c>
      <c r="AB16" s="97">
        <f ca="1">TblMili[[#This Row],[Draftees]]</f>
        <v>424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106</v>
      </c>
      <c r="AL16" s="97"/>
    </row>
    <row r="17" spans="1:38"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45281.541666666635</v>
      </c>
      <c r="AB17" s="97">
        <f ca="1">TblMili[[#This Row],[Draftees]]</f>
        <v>440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110</v>
      </c>
      <c r="AL17" s="97"/>
    </row>
    <row r="18" spans="1:38"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45281.583333333299</v>
      </c>
      <c r="AB18" s="97">
        <f ca="1">TblMili[[#This Row],[Draftees]]</f>
        <v>457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114</v>
      </c>
      <c r="AL18" s="97"/>
    </row>
    <row r="19" spans="1:38"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45281.624999999964</v>
      </c>
      <c r="AB19" s="97">
        <f ca="1">TblMili[[#This Row],[Draftees]]</f>
        <v>474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118</v>
      </c>
      <c r="AL19" s="97"/>
    </row>
    <row r="20" spans="1:38"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45281.666666666628</v>
      </c>
      <c r="AB20" s="97">
        <f ca="1">TblMili[[#This Row],[Draftees]]</f>
        <v>491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122</v>
      </c>
      <c r="AL20" s="97"/>
    </row>
    <row r="21" spans="1:38"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45281.708333333292</v>
      </c>
      <c r="AB21" s="97">
        <f ca="1">TblMili[[#This Row],[Draftees]]</f>
        <v>509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127</v>
      </c>
      <c r="AL21" s="97"/>
    </row>
    <row r="22" spans="1:38"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45281.749999999956</v>
      </c>
      <c r="AB22" s="97">
        <f ca="1">TblMili[[#This Row],[Draftees]]</f>
        <v>527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131</v>
      </c>
      <c r="AL22" s="97"/>
    </row>
    <row r="23" spans="1:38"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45281.791666666621</v>
      </c>
      <c r="AB23" s="97">
        <f ca="1">TblMili[[#This Row],[Draftees]]</f>
        <v>545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136</v>
      </c>
      <c r="AL23" s="97"/>
    </row>
    <row r="24" spans="1:38"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45281.833333333285</v>
      </c>
      <c r="AB24" s="97">
        <f ca="1">TblMili[[#This Row],[Draftees]]</f>
        <v>563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140</v>
      </c>
      <c r="AL24" s="97"/>
    </row>
    <row r="25" spans="1:38"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45281.874999999949</v>
      </c>
      <c r="AB25" s="97">
        <f ca="1">TblMili[[#This Row],[Draftees]]</f>
        <v>580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145</v>
      </c>
      <c r="AL25" s="97"/>
    </row>
    <row r="26" spans="1:38"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45281.916666666613</v>
      </c>
      <c r="AB26" s="97">
        <f ca="1">TblMili[[#This Row],[Draftees]]</f>
        <v>597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149</v>
      </c>
    </row>
    <row r="27" spans="1:38"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45281.958333333278</v>
      </c>
      <c r="AB27" s="97">
        <f ca="1">TblMili[[#This Row],[Draftees]]</f>
        <v>614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153</v>
      </c>
    </row>
    <row r="28" spans="1:38"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776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45281.999999999942</v>
      </c>
      <c r="AB28" s="97">
        <f ca="1">TblMili[[#This Row],[Draftees]]</f>
        <v>631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157</v>
      </c>
    </row>
    <row r="29" spans="1:38"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45282.041666666606</v>
      </c>
      <c r="AB29" s="97">
        <f ca="1">TblMili[[#This Row],[Draftees]]</f>
        <v>648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162</v>
      </c>
    </row>
    <row r="30" spans="1:38"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45282.08333333327</v>
      </c>
      <c r="AB30" s="97">
        <f ca="1">TblMili[[#This Row],[Draftees]]</f>
        <v>665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166</v>
      </c>
    </row>
    <row r="31" spans="1:38"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45282.124999999935</v>
      </c>
      <c r="AB31" s="97">
        <f ca="1">TblMili[[#This Row],[Draftees]]</f>
        <v>681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170</v>
      </c>
    </row>
    <row r="32" spans="1:38"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45282.166666666599</v>
      </c>
      <c r="AB32" s="97">
        <f ca="1">TblMili[[#This Row],[Draftees]]</f>
        <v>697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174</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45282.208333333263</v>
      </c>
      <c r="AB33" s="97">
        <f ca="1">TblMili[[#This Row],[Draftees]]</f>
        <v>713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178</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45282.249999999927</v>
      </c>
      <c r="AB34" s="97">
        <f ca="1">TblMili[[#This Row],[Draftees]]</f>
        <v>729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182</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45282.291666666591</v>
      </c>
      <c r="AB35" s="97">
        <f ca="1">TblMili[[#This Row],[Draftees]]</f>
        <v>745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186</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45282.333333333256</v>
      </c>
      <c r="AB36" s="97">
        <f ca="1">TblMili[[#This Row],[Draftees]]</f>
        <v>761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190</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45282.37499999992</v>
      </c>
      <c r="AB37" s="97">
        <f ca="1">TblMili[[#This Row],[Draftees]]</f>
        <v>776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194</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45282.416666666584</v>
      </c>
      <c r="AB38" s="97">
        <f ca="1">TblMili[[#This Row],[Draftees]]</f>
        <v>776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194</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45282.458333333248</v>
      </c>
      <c r="AB39" s="97">
        <f ca="1">TblMili[[#This Row],[Draftees]]</f>
        <v>776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194</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45282.499999999913</v>
      </c>
      <c r="AB40" s="97">
        <f ca="1">TblMili[[#This Row],[Draftees]]</f>
        <v>776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194</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45282.541666666577</v>
      </c>
      <c r="AB41" s="97">
        <f ca="1">TblMili[[#This Row],[Draftees]]</f>
        <v>776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194</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45282.583333333241</v>
      </c>
      <c r="AB42" s="97">
        <f ca="1">TblMili[[#This Row],[Draftees]]</f>
        <v>776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194</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45282.624999999905</v>
      </c>
      <c r="AB43" s="97">
        <f ca="1">TblMili[[#This Row],[Draftees]]</f>
        <v>776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194</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45282.66666666657</v>
      </c>
      <c r="AB44" s="97">
        <f ca="1">TblMili[[#This Row],[Draftees]]</f>
        <v>776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194</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45282.708333333234</v>
      </c>
      <c r="AB45" s="97">
        <f ca="1">TblMili[[#This Row],[Draftees]]</f>
        <v>776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194</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45282.749999999898</v>
      </c>
      <c r="AB46" s="97">
        <f ca="1">TblMili[[#This Row],[Draftees]]</f>
        <v>776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194</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45282.791666666562</v>
      </c>
      <c r="AB47" s="97">
        <f ca="1">TblMili[[#This Row],[Draftees]]</f>
        <v>776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194</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45282.833333333227</v>
      </c>
      <c r="AB48" s="97">
        <f ca="1">TblMili[[#This Row],[Draftees]]</f>
        <v>776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194</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45282.874999999891</v>
      </c>
      <c r="AB49" s="97">
        <f ca="1">TblMili[[#This Row],[Draftees]]</f>
        <v>776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194</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45282.916666666555</v>
      </c>
      <c r="AB50" s="97">
        <f ca="1">TblMili[[#This Row],[Draftees]]</f>
        <v>776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194</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45282.958333333219</v>
      </c>
      <c r="AB51" s="97">
        <f ca="1">TblMili[[#This Row],[Draftees]]</f>
        <v>776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194</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45282.999999999884</v>
      </c>
      <c r="AB52" s="97">
        <f ca="1">TblMili[[#This Row],[Draftees]]</f>
        <v>776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194</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45283.041666666548</v>
      </c>
      <c r="AB53" s="97">
        <f ca="1">TblMili[[#This Row],[Draftees]]</f>
        <v>776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194</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1050</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45283.083333333212</v>
      </c>
      <c r="AB54" s="97">
        <f ca="1">TblMili[[#This Row],[Draftees]]</f>
        <v>776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194</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45283.124999999876</v>
      </c>
      <c r="AB55" s="97">
        <f ca="1">TblMili[[#This Row],[Draftees]]</f>
        <v>776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194</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45283.166666666541</v>
      </c>
      <c r="AB56" s="97">
        <f ca="1">TblMili[[#This Row],[Draftees]]</f>
        <v>776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194</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45283.208333333205</v>
      </c>
      <c r="AB57" s="97">
        <f ca="1">TblMili[[#This Row],[Draftees]]</f>
        <v>776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194</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45283.249999999869</v>
      </c>
      <c r="AB58" s="97">
        <f ca="1">TblMili[[#This Row],[Draftees]]</f>
        <v>776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194</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45283.291666666533</v>
      </c>
      <c r="AB59" s="97">
        <f ca="1">TblMili[[#This Row],[Draftees]]</f>
        <v>776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194</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45283.333333333198</v>
      </c>
      <c r="AB60" s="97">
        <f ca="1">TblMili[[#This Row],[Draftees]]</f>
        <v>776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194</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45283.374999999862</v>
      </c>
      <c r="AB61" s="97">
        <f ca="1">TblMili[[#This Row],[Draftees]]</f>
        <v>776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194</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45283.416666666526</v>
      </c>
      <c r="AB62" s="97">
        <f ca="1">TblMili[[#This Row],[Draftees]]</f>
        <v>776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194</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45283.45833333319</v>
      </c>
      <c r="AB63" s="97">
        <f ca="1">TblMili[[#This Row],[Draftees]]</f>
        <v>776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194</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45283.499999999854</v>
      </c>
      <c r="AB64" s="97">
        <f ca="1">TblMili[[#This Row],[Draftees]]</f>
        <v>776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194</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45283.541666666519</v>
      </c>
      <c r="AB65" s="97">
        <f ca="1">TblMili[[#This Row],[Draftees]]</f>
        <v>776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194</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45283.583333333183</v>
      </c>
      <c r="AB66" s="97">
        <f ca="1">TblMili[[#This Row],[Draftees]]</f>
        <v>776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194</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45283.624999999847</v>
      </c>
      <c r="AB67" s="97">
        <f ca="1">TblMili[[#This Row],[Draftees]]</f>
        <v>776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194</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45283.666666666511</v>
      </c>
      <c r="AB68" s="97">
        <f ca="1">TblMili[[#This Row],[Draftees]]</f>
        <v>776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194</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45283.708333333176</v>
      </c>
      <c r="AB69" s="97">
        <f ca="1">TblMili[[#This Row],[Draftees]]</f>
        <v>776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194</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45283.74999999984</v>
      </c>
      <c r="AB70" s="97">
        <f ca="1">TblMili[[#This Row],[Draftees]]</f>
        <v>776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194</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45283.791666666504</v>
      </c>
      <c r="AB71" s="97">
        <f ca="1">TblMili[[#This Row],[Draftees]]</f>
        <v>776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194</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45283.833333333168</v>
      </c>
      <c r="AB72" s="97">
        <f ca="1">TblMili[[#This Row],[Draftees]]</f>
        <v>776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194</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45283.874999999833</v>
      </c>
      <c r="AB73" s="97">
        <f ca="1">TblMili[[#This Row],[Draftees]]</f>
        <v>776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194</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45283.916666666497</v>
      </c>
      <c r="AB74" s="97">
        <f ca="1">TblMili[[#This Row],[Draftees]]</f>
        <v>776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194</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45283.958333333161</v>
      </c>
      <c r="AB75" s="97">
        <f ca="1">TblMili[[#This Row],[Draftees]]</f>
        <v>776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194</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45283.999999999825</v>
      </c>
      <c r="AB76" s="210">
        <f ca="1">TblMili[[#This Row],[Draftees]]</f>
        <v>776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194</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45284.04166666649</v>
      </c>
      <c r="AB77" s="97">
        <f ca="1">TblMili[[#This Row],[Draftees]]</f>
        <v>776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194</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45284.083333333154</v>
      </c>
      <c r="AB78" s="97">
        <f ca="1">TblMili[[#This Row],[Draftees]]</f>
        <v>776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194</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45284.124999999818</v>
      </c>
      <c r="AB79" s="97">
        <f ca="1">TblMili[[#This Row],[Draftees]]</f>
        <v>776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194</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45284.166666666482</v>
      </c>
      <c r="AB80" s="97">
        <f ca="1">TblMili[[#This Row],[Draftees]]</f>
        <v>776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194</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45284.208333333147</v>
      </c>
      <c r="AB81" s="97">
        <f ca="1">TblMili[[#This Row],[Draftees]]</f>
        <v>776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194</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45284.249999999811</v>
      </c>
      <c r="AB82" s="97">
        <f ca="1">TblMili[[#This Row],[Draftees]]</f>
        <v>776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194</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45284.291666666475</v>
      </c>
      <c r="AB83" s="97">
        <f ca="1">TblMili[[#This Row],[Draftees]]</f>
        <v>776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194</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45284.333333333139</v>
      </c>
      <c r="AB84" s="97">
        <f ca="1">TblMili[[#This Row],[Draftees]]</f>
        <v>776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194</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45284.374999999804</v>
      </c>
      <c r="AB85" s="97">
        <f ca="1">TblMili[[#This Row],[Draftees]]</f>
        <v>776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194</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45284.416666666468</v>
      </c>
      <c r="AB86" s="97">
        <f ca="1">TblMili[[#This Row],[Draftees]]</f>
        <v>776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194</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45284.458333333132</v>
      </c>
      <c r="AB87" s="97">
        <f ca="1">TblMili[[#This Row],[Draftees]]</f>
        <v>776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194</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45284.499999999796</v>
      </c>
      <c r="AB88" s="97">
        <f ca="1">TblMili[[#This Row],[Draftees]]</f>
        <v>776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194</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45284.541666666461</v>
      </c>
      <c r="AB89" s="97">
        <f ca="1">TblMili[[#This Row],[Draftees]]</f>
        <v>776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194</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45284.583333333125</v>
      </c>
      <c r="AB90" s="97">
        <f ca="1">TblMili[[#This Row],[Draftees]]</f>
        <v>776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194</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45284.624999999789</v>
      </c>
      <c r="AB91" s="97">
        <f ca="1">TblMili[[#This Row],[Draftees]]</f>
        <v>776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194</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45284.666666666453</v>
      </c>
      <c r="AB92" s="97">
        <f ca="1">TblMili[[#This Row],[Draftees]]</f>
        <v>776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194</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45284.708333333117</v>
      </c>
      <c r="AB93" s="97">
        <f ca="1">TblMili[[#This Row],[Draftees]]</f>
        <v>776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194</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45284.749999999782</v>
      </c>
      <c r="AB94" s="97">
        <f ca="1">TblMili[[#This Row],[Draftees]]</f>
        <v>776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194</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45284.791666666446</v>
      </c>
      <c r="AB95" s="97">
        <f ca="1">TblMili[[#This Row],[Draftees]]</f>
        <v>776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194</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45284.83333333311</v>
      </c>
      <c r="AB96" s="97">
        <f ca="1">TblMili[[#This Row],[Draftees]]</f>
        <v>776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194</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45284.874999999774</v>
      </c>
      <c r="AB97" s="97">
        <f ca="1">TblMili[[#This Row],[Draftees]]</f>
        <v>776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45284.916666666439</v>
      </c>
      <c r="AB98" s="97">
        <f ca="1">TblMili[[#This Row],[Draftees]]</f>
        <v>776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45284.958333333103</v>
      </c>
      <c r="AB99" s="97">
        <f ca="1">TblMili[[#This Row],[Draftees]]</f>
        <v>776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194</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45284.999999999767</v>
      </c>
      <c r="AB100" s="97">
        <f ca="1">TblMili[[#This Row],[Draftees]]</f>
        <v>776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194</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45285.041666666431</v>
      </c>
      <c r="AB101" s="97">
        <f ca="1">TblMili[[#This Row],[Draftees]]</f>
        <v>776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194</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45285.083333333096</v>
      </c>
      <c r="AB102" s="97">
        <f ca="1">TblMili[[#This Row],[Draftees]]</f>
        <v>776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194</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45285.12499999976</v>
      </c>
      <c r="AB103" s="97">
        <f ca="1">TblMili[[#This Row],[Draftees]]</f>
        <v>776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194</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45285.166666666424</v>
      </c>
      <c r="AB104" s="97">
        <f ca="1">TblMili[[#This Row],[Draftees]]</f>
        <v>776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194</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45285.208333333088</v>
      </c>
      <c r="AB105" s="97">
        <f ca="1">TblMili[[#This Row],[Draftees]]</f>
        <v>776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194</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45285.249999999753</v>
      </c>
      <c r="AB106" s="97">
        <f ca="1">TblMili[[#This Row],[Draftees]]</f>
        <v>776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194</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45285.291666666417</v>
      </c>
      <c r="AB107" s="97">
        <f ca="1">TblMili[[#This Row],[Draftees]]</f>
        <v>776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194</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45285.333333333081</v>
      </c>
      <c r="AB108" s="97">
        <f ca="1">TblMili[[#This Row],[Draftees]]</f>
        <v>776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194</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45285.374999999745</v>
      </c>
      <c r="AB109" s="97">
        <f ca="1">TblMili[[#This Row],[Draftees]]</f>
        <v>776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194</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45285.41666666641</v>
      </c>
      <c r="AB110" s="97">
        <f ca="1">TblMili[[#This Row],[Draftees]]</f>
        <v>776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194</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45285.458333333074</v>
      </c>
      <c r="AB111" s="97">
        <f ca="1">TblMili[[#This Row],[Draftees]]</f>
        <v>776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194</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45285.499999999738</v>
      </c>
      <c r="AB112" s="97">
        <f ca="1">TblMili[[#This Row],[Draftees]]</f>
        <v>776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194</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45285.541666666402</v>
      </c>
      <c r="AB113" s="97">
        <f ca="1">TblMili[[#This Row],[Draftees]]</f>
        <v>776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194</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45285.583333333067</v>
      </c>
      <c r="AB114" s="97">
        <f ca="1">TblMili[[#This Row],[Draftees]]</f>
        <v>776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194</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45285.624999999731</v>
      </c>
      <c r="AB115" s="97">
        <f ca="1">TblMili[[#This Row],[Draftees]]</f>
        <v>776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194</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45285.666666666395</v>
      </c>
      <c r="AB116" s="97">
        <f ca="1">TblMili[[#This Row],[Draftees]]</f>
        <v>776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194</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45285.708333333059</v>
      </c>
      <c r="AB117" s="97">
        <f ca="1">TblMili[[#This Row],[Draftees]]</f>
        <v>776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194</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45285.749999999724</v>
      </c>
      <c r="AB118" s="97">
        <f ca="1">TblMili[[#This Row],[Draftees]]</f>
        <v>776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194</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45285.791666666388</v>
      </c>
      <c r="AB119" s="97">
        <f ca="1">TblMili[[#This Row],[Draftees]]</f>
        <v>776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194</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45285.833333333052</v>
      </c>
      <c r="AB120" s="97">
        <f ca="1">TblMili[[#This Row],[Draftees]]</f>
        <v>776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194</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45285.874999999716</v>
      </c>
      <c r="AB121" s="97">
        <f ca="1">TblMili[[#This Row],[Draftees]]</f>
        <v>776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194</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45285.91666666638</v>
      </c>
      <c r="AB122" s="97">
        <f ca="1">TblMili[[#This Row],[Draftees]]</f>
        <v>776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194</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45285.958333333045</v>
      </c>
      <c r="AB123" s="97">
        <f ca="1">TblMili[[#This Row],[Draftees]]</f>
        <v>776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194</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45285.999999999709</v>
      </c>
      <c r="AB124" s="97">
        <f ca="1">TblMili[[#This Row],[Draftees]]</f>
        <v>776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194</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45286.041666666373</v>
      </c>
      <c r="AB125" s="97">
        <f ca="1">TblMili[[#This Row],[Draftees]]</f>
        <v>776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194</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45286.083333333037</v>
      </c>
      <c r="AB126" s="97">
        <f ca="1">TblMili[[#This Row],[Draftees]]</f>
        <v>776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194</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45286.124999999702</v>
      </c>
      <c r="AB127" s="97">
        <f ca="1">TblMili[[#This Row],[Draftees]]</f>
        <v>776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194</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45286.166666666366</v>
      </c>
      <c r="AB128" s="97">
        <f ca="1">TblMili[[#This Row],[Draftees]]</f>
        <v>776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194</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45286.20833333303</v>
      </c>
      <c r="AB129" s="97">
        <f ca="1">TblMili[[#This Row],[Draftees]]</f>
        <v>776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194</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45286.249999999694</v>
      </c>
      <c r="AB130" s="97">
        <f ca="1">TblMili[[#This Row],[Draftees]]</f>
        <v>776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194</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45286.291666666359</v>
      </c>
      <c r="AB131" s="97">
        <f ca="1">TblMili[[#This Row],[Draftees]]</f>
        <v>776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194</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45286.333333333023</v>
      </c>
      <c r="AB132" s="97">
        <f ca="1">TblMili[[#This Row],[Draftees]]</f>
        <v>776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194</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45286.374999999687</v>
      </c>
      <c r="AB133" s="97">
        <f ca="1">TblMili[[#This Row],[Draftees]]</f>
        <v>776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194</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45286.416666666351</v>
      </c>
      <c r="AB134" s="97">
        <f ca="1">TblMili[[#This Row],[Draftees]]</f>
        <v>776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194</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45286.458333333016</v>
      </c>
      <c r="AB135" s="97">
        <f ca="1">TblMili[[#This Row],[Draftees]]</f>
        <v>776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194</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45286.49999999968</v>
      </c>
      <c r="AB136" s="97">
        <f ca="1">TblMili[[#This Row],[Draftees]]</f>
        <v>776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194</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775</v>
      </c>
      <c r="J3" s="138" t="s">
        <v>0</v>
      </c>
      <c r="K3" s="138" t="s">
        <v>312</v>
      </c>
      <c r="L3" s="138" t="s">
        <v>1032</v>
      </c>
      <c r="M3" s="138" t="s">
        <v>1033</v>
      </c>
      <c r="N3" s="138" t="s">
        <v>1034</v>
      </c>
      <c r="O3" s="138" t="s">
        <v>1035</v>
      </c>
      <c r="P3" s="138" t="s">
        <v>1036</v>
      </c>
      <c r="Q3" s="138" t="s">
        <v>1037</v>
      </c>
      <c r="R3" s="138" t="s">
        <v>1038</v>
      </c>
      <c r="S3" s="138" t="s">
        <v>303</v>
      </c>
      <c r="T3" s="138" t="s">
        <v>195</v>
      </c>
      <c r="U3" s="138" t="s">
        <v>776</v>
      </c>
      <c r="V3" s="138" t="s">
        <v>2</v>
      </c>
      <c r="W3" s="138" t="s">
        <v>777</v>
      </c>
      <c r="X3" s="138" t="s">
        <v>57</v>
      </c>
      <c r="Y3" s="138" t="s">
        <v>904</v>
      </c>
      <c r="Z3" s="138" t="s">
        <v>792</v>
      </c>
      <c r="AA3" s="138" t="s">
        <v>261</v>
      </c>
      <c r="AB3" s="138" t="s">
        <v>793</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45281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45281.041666666664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45281.083333333328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45281.124999999993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45281.166666666657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45281.208333333321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45281.249999999985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45281.29166666665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45281.333333333314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45281.374999999978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45281.416666666642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45281.458333333307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45281.499999999971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45281.541666666635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45281.583333333299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45281.624999999964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45281.666666666628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45281.708333333292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45281.749999999956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45281.791666666621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45281.833333333285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45281.874999999949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45281.916666666613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45281.958333333278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45281.999999999942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45282.041666666606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45282.08333333327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45282.124999999935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45282.166666666599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45282.208333333263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45282.249999999927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45282.291666666591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45282.333333333256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45282.37499999992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45282.416666666584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45282.458333333248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45282.499999999913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45282.541666666577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45282.583333333241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45282.624999999905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45282.66666666657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45282.708333333234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45282.749999999898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45282.791666666562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45282.833333333227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45282.874999999891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45282.916666666555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45282.958333333219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45282.999999999884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45283.041666666548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45283.083333333212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45283.124999999876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45283.166666666541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45283.208333333205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45283.249999999869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45283.291666666533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45283.333333333198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45283.374999999862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45283.416666666526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45283.45833333319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45283.499999999854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45283.541666666519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45283.583333333183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45283.624999999847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45283.666666666511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45283.708333333176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45283.74999999984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45283.791666666504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45283.833333333168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45283.874999999833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45283.916666666497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45283.958333333161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45283.999999999825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45284.04166666649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45284.083333333154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45284.124999999818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45284.166666666482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45284.208333333147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45284.249999999811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45284.291666666475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45284.333333333139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45284.374999999804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45284.416666666468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45284.458333333132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45284.499999999796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45284.541666666461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45284.583333333125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45284.624999999789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45284.666666666453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45284.708333333117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45284.749999999782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45284.791666666446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45284.83333333311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45284.874999999774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45284.916666666439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45284.958333333103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45284.999999999767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45285.041666666431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45285.083333333096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45285.12499999976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45285.166666666424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45285.208333333088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45285.249999999753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45285.291666666417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45285.333333333081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45285.374999999745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45285.41666666641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45285.458333333074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45285.499999999738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45285.541666666402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45285.583333333067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45285.624999999731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45285.666666666395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45285.708333333059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45285.749999999724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45285.791666666388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45285.833333333052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45285.874999999716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45285.91666666638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45285.958333333045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45285.999999999709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45286.041666666373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45286.083333333037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45286.124999999702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45286.166666666366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45286.20833333303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45286.249999999694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45286.291666666359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45286.333333333023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45286.374999999687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45286.416666666351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45286.458333333016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45286.49999999968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53"/>
      <c r="N1270" s="453"/>
      <c r="O1270" s="453"/>
      <c r="P1270" s="453"/>
      <c r="Q1270" s="453"/>
      <c r="R1270" s="453"/>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475</v>
      </c>
      <c r="T1" s="497"/>
      <c r="U1" s="176"/>
      <c r="V1" s="497" t="s">
        <v>476</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491</v>
      </c>
      <c r="BJ1" s="497"/>
      <c r="BK1" s="497"/>
      <c r="BL1" s="497"/>
      <c r="BM1" s="497"/>
      <c r="BN1" s="497"/>
      <c r="BO1" s="497"/>
      <c r="BP1" s="497"/>
      <c r="BQ1" s="498"/>
      <c r="BR1" s="498"/>
      <c r="BS1" s="498"/>
      <c r="BT1" s="498"/>
      <c r="BU1" s="5"/>
      <c r="BV1" s="499" t="s">
        <v>299</v>
      </c>
      <c r="BW1" s="453"/>
      <c r="BX1" s="453"/>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1095</v>
      </c>
      <c r="AM2" s="255" t="s">
        <v>26</v>
      </c>
      <c r="AN2" s="255" t="s">
        <v>27</v>
      </c>
      <c r="AO2" s="5"/>
      <c r="AP2" s="5"/>
      <c r="AQ2" s="257" t="str">
        <f>INDEX(Constants!A133:B153,MATCH(race,Constants!A133:A153,0),2)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775</v>
      </c>
      <c r="E3" s="138" t="s">
        <v>771</v>
      </c>
      <c r="F3" s="138" t="s">
        <v>772</v>
      </c>
      <c r="G3" s="138" t="s">
        <v>773</v>
      </c>
      <c r="H3" s="138" t="s">
        <v>774</v>
      </c>
      <c r="I3" s="138" t="s">
        <v>25</v>
      </c>
      <c r="J3" s="138" t="s">
        <v>1095</v>
      </c>
      <c r="K3" s="138" t="s">
        <v>26</v>
      </c>
      <c r="L3" s="138" t="s">
        <v>27</v>
      </c>
      <c r="M3" s="138" t="s">
        <v>776</v>
      </c>
      <c r="N3" s="138" t="s">
        <v>232</v>
      </c>
      <c r="O3" s="138" t="s">
        <v>777</v>
      </c>
      <c r="P3" s="138" t="s">
        <v>190</v>
      </c>
      <c r="Q3" s="138" t="s">
        <v>802</v>
      </c>
      <c r="R3" s="138" t="s">
        <v>229</v>
      </c>
      <c r="S3" s="258" t="s">
        <v>477</v>
      </c>
      <c r="T3" s="138" t="s">
        <v>474</v>
      </c>
      <c r="U3" s="138" t="s">
        <v>803</v>
      </c>
      <c r="V3" s="259" t="s">
        <v>871</v>
      </c>
      <c r="W3" s="138" t="s">
        <v>872</v>
      </c>
      <c r="X3" s="138" t="s">
        <v>1</v>
      </c>
      <c r="Y3" s="138" t="s">
        <v>181</v>
      </c>
      <c r="Z3" s="138" t="s">
        <v>180</v>
      </c>
      <c r="AA3" s="138" t="s">
        <v>24</v>
      </c>
      <c r="AB3" s="138" t="s">
        <v>792</v>
      </c>
      <c r="AC3" s="138" t="s">
        <v>185</v>
      </c>
      <c r="AD3" s="138" t="s">
        <v>793</v>
      </c>
      <c r="AE3" s="138" t="s">
        <v>857</v>
      </c>
      <c r="AF3" s="138" t="s">
        <v>312</v>
      </c>
      <c r="AG3" s="138" t="s">
        <v>786</v>
      </c>
      <c r="AH3" s="138" t="s">
        <v>787</v>
      </c>
      <c r="AI3" s="138" t="s">
        <v>788</v>
      </c>
      <c r="AJ3" s="138" t="s">
        <v>789</v>
      </c>
      <c r="AK3" s="138" t="s">
        <v>790</v>
      </c>
      <c r="AL3" s="138" t="s">
        <v>1094</v>
      </c>
      <c r="AM3" s="138" t="s">
        <v>791</v>
      </c>
      <c r="AN3" s="138" t="s">
        <v>1093</v>
      </c>
      <c r="AO3" s="138" t="s">
        <v>794</v>
      </c>
      <c r="AP3" s="138" t="s">
        <v>2</v>
      </c>
      <c r="AQ3" s="258" t="s">
        <v>1013</v>
      </c>
      <c r="AR3" s="138" t="s">
        <v>804</v>
      </c>
      <c r="AS3" s="258" t="s">
        <v>1014</v>
      </c>
      <c r="AT3" s="138" t="s">
        <v>1051</v>
      </c>
      <c r="AU3" s="138" t="s">
        <v>1053</v>
      </c>
      <c r="AV3" s="138" t="s">
        <v>779</v>
      </c>
      <c r="AW3" s="138" t="s">
        <v>795</v>
      </c>
      <c r="AX3" s="138" t="s">
        <v>796</v>
      </c>
      <c r="AY3" s="138" t="s">
        <v>797</v>
      </c>
      <c r="AZ3" s="138" t="s">
        <v>798</v>
      </c>
      <c r="BA3" s="138" t="s">
        <v>799</v>
      </c>
      <c r="BB3" s="138" t="s">
        <v>800</v>
      </c>
      <c r="BC3" s="138" t="s">
        <v>1096</v>
      </c>
      <c r="BD3" s="138" t="s">
        <v>801</v>
      </c>
      <c r="BE3" s="138" t="s">
        <v>1097</v>
      </c>
      <c r="BF3" s="138" t="s">
        <v>780</v>
      </c>
      <c r="BG3" s="138" t="s">
        <v>233</v>
      </c>
      <c r="BH3" s="138" t="s">
        <v>355</v>
      </c>
      <c r="BI3" s="138" t="s">
        <v>492</v>
      </c>
      <c r="BJ3" s="138" t="s">
        <v>493</v>
      </c>
      <c r="BK3" s="138" t="s">
        <v>494</v>
      </c>
      <c r="BL3" s="138" t="s">
        <v>495</v>
      </c>
      <c r="BM3" s="138" t="s">
        <v>496</v>
      </c>
      <c r="BN3" s="138" t="s">
        <v>497</v>
      </c>
      <c r="BO3" s="138" t="s">
        <v>498</v>
      </c>
      <c r="BP3" s="138" t="s">
        <v>499</v>
      </c>
      <c r="BQ3" s="138" t="s">
        <v>900</v>
      </c>
      <c r="BR3" s="138" t="s">
        <v>1098</v>
      </c>
      <c r="BS3" s="138" t="s">
        <v>901</v>
      </c>
      <c r="BT3" s="138" t="s">
        <v>902</v>
      </c>
      <c r="BU3" s="138" t="s">
        <v>903</v>
      </c>
      <c r="BV3" s="138" t="s">
        <v>246</v>
      </c>
      <c r="BW3" s="138" t="s">
        <v>298</v>
      </c>
      <c r="BX3" s="138" t="s">
        <v>125</v>
      </c>
      <c r="BY3" s="138" t="s">
        <v>1016</v>
      </c>
      <c r="BZ3" s="138" t="s">
        <v>1015</v>
      </c>
      <c r="CA3" s="138" t="s">
        <v>140</v>
      </c>
      <c r="CB3" s="138" t="s">
        <v>133</v>
      </c>
      <c r="CC3" s="138" t="s">
        <v>1077</v>
      </c>
      <c r="CD3" s="138" t="s">
        <v>1081</v>
      </c>
      <c r="CE3" s="138" t="s">
        <v>329</v>
      </c>
      <c r="CF3" s="138" t="s">
        <v>330</v>
      </c>
      <c r="CG3" s="138" t="s">
        <v>334</v>
      </c>
      <c r="CH3" s="138" t="s">
        <v>335</v>
      </c>
      <c r="CI3" s="138" t="s">
        <v>144</v>
      </c>
      <c r="CJ3" s="138" t="s">
        <v>501</v>
      </c>
      <c r="CK3" s="260" t="s">
        <v>781</v>
      </c>
      <c r="CL3" s="260" t="s">
        <v>782</v>
      </c>
      <c r="CM3" s="260" t="s">
        <v>783</v>
      </c>
      <c r="CN3" s="138" t="s">
        <v>1017</v>
      </c>
      <c r="CO3" s="138" t="s">
        <v>886</v>
      </c>
      <c r="CP3" s="138" t="s">
        <v>887</v>
      </c>
      <c r="CQ3" s="138" t="s">
        <v>888</v>
      </c>
      <c r="CR3" s="138" t="s">
        <v>889</v>
      </c>
      <c r="CS3" s="138" t="s">
        <v>890</v>
      </c>
      <c r="CT3" s="138" t="s">
        <v>891</v>
      </c>
      <c r="CU3" s="138" t="s">
        <v>892</v>
      </c>
      <c r="CV3" s="138" t="s">
        <v>893</v>
      </c>
      <c r="CW3" s="138" t="s">
        <v>894</v>
      </c>
      <c r="CX3" s="138" t="s">
        <v>895</v>
      </c>
      <c r="CY3" s="138" t="s">
        <v>896</v>
      </c>
      <c r="CZ3" s="260" t="s">
        <v>784</v>
      </c>
      <c r="DA3" s="138" t="s">
        <v>1088</v>
      </c>
      <c r="DB3" s="260" t="s">
        <v>785</v>
      </c>
      <c r="DC3" s="138" t="s">
        <v>897</v>
      </c>
      <c r="DD3" s="138" t="s">
        <v>1054</v>
      </c>
      <c r="DE3" s="138" t="s">
        <v>898</v>
      </c>
      <c r="DF3" s="138" t="s">
        <v>899</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5700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 s="262">
        <f ca="1">TblMili[[#This Row],[Non Draft]]+TblMili[[#This Row],[Draftees]]</f>
        <v>250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0</v>
      </c>
      <c r="W4" s="262">
        <f ca="1">TblMili[[#This Row],[Draft]] * (1 + TblMili[[#This Row],[Mods_Def]])</f>
        <v>250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250</v>
      </c>
      <c r="AB4" s="157"/>
      <c r="AC4" s="183">
        <f ca="1">(TblConstr[[#This Row],[Tot Smi]]+TblConstr[[#This Row],[Dest Smi]])/(TblConstr[[#This Row],[Land]]-TblExplore[[#This Row],[Land Bonus]]*20)</f>
        <v>0</v>
      </c>
      <c r="AD4" s="261"/>
      <c r="AE4" s="261">
        <f>TblMili[[#This Row],[Hour]]</f>
        <v>1</v>
      </c>
      <c r="AF4" s="141">
        <f>TblExplore[[#This Row],[Time]]</f>
        <v>45281</v>
      </c>
      <c r="AG4" s="182"/>
      <c r="AH4" s="182"/>
      <c r="AI4" s="182"/>
      <c r="AJ4" s="182"/>
      <c r="AK4" s="182"/>
      <c r="AL4" s="182"/>
      <c r="AM4" s="182"/>
      <c r="AN4" s="182"/>
      <c r="AO4" s="145"/>
      <c r="AP4" s="97">
        <f ca="1">TblProd[[#This Row],[Platinum]]</f>
        <v>120000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45281</v>
      </c>
      <c r="AV4" s="97">
        <f ca="1">TblMili[[#This Row],[Draftees]]</f>
        <v>250</v>
      </c>
      <c r="AW4" s="182"/>
      <c r="AX4" s="182"/>
      <c r="AY4" s="182">
        <v>150</v>
      </c>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ROUNDUP(IF(OR(race="Gnome", race="High Elf"),1,(1-MIN(TblMili[[#This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ROUNDUP(IF(OR(race="Gnome", race="High Elf"),1,(1-MIN(TblMili[[#This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ROUNDUP(IF(OR(race="Gnome", race="High Elf"),1,(1-MIN(TblMili[[#This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1240</v>
      </c>
      <c r="BP4" s="97">
        <f ca="1">ROUNDUP(IF(OR(race="Gnome", race="High Elf"),1,(1-MIN(TblMili[[#This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5700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 s="262">
        <f ca="1">TblMili[[#This Row],[Non Draft]]+TblMili[[#This Row],[Draftees]]</f>
        <v>263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0</v>
      </c>
      <c r="W5" s="262">
        <f ca="1">TblMili[[#This Row],[Draft]] * (1 + TblMili[[#This Row],[Mods_Def]])</f>
        <v>263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263</v>
      </c>
      <c r="AB5" s="157"/>
      <c r="AC5" s="183">
        <f ca="1">(TblConstr[[#This Row],[Tot Smi]]+TblConstr[[#This Row],[Dest Smi]])/(TblConstr[[#This Row],[Land]]-TblExplore[[#This Row],[Land Bonus]]*20)</f>
        <v>0</v>
      </c>
      <c r="AD5" s="140"/>
      <c r="AE5" s="261">
        <f>TblMili[[#This Row],[Hour]]</f>
        <v>2</v>
      </c>
      <c r="AF5" s="141">
        <f ca="1">TblExplore[[#This Row],[Time]]</f>
        <v>45281.041666666664</v>
      </c>
      <c r="AG5" s="182"/>
      <c r="AH5" s="182"/>
      <c r="AI5" s="182"/>
      <c r="AJ5" s="182"/>
      <c r="AK5" s="182"/>
      <c r="AL5" s="182"/>
      <c r="AM5" s="182"/>
      <c r="AN5" s="182"/>
      <c r="AO5" s="145"/>
      <c r="AP5" s="97">
        <f ca="1">TblProd[[#This Row],[Platinum]]</f>
        <v>124860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45281.041666666664</v>
      </c>
      <c r="AV5" s="97">
        <f ca="1">TblMili[[#This Row],[Draftees]]</f>
        <v>263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ROUNDUP(IF(OR(race="Gnome", race="High Elf"),1,(1-MIN(TblMili[[#This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ROUNDUP(IF(OR(race="Gnome", race="High Elf"),1,(1-MIN(TblMili[[#This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ROUNDUP(IF(OR(race="Gnome", race="High Elf"),1,(1-MIN(TblMili[[#This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1240</v>
      </c>
      <c r="BP5" s="97">
        <f ca="1">ROUNDUP(IF(OR(race="Gnome", race="High Elf"),1,(1-MIN(TblMili[[#This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3"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5700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 s="262">
        <f ca="1">TblMili[[#This Row],[Non Draft]]+TblMili[[#This Row],[Draftees]]</f>
        <v>276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0</v>
      </c>
      <c r="W6" s="262">
        <f ca="1">TblMili[[#This Row],[Draft]] * (1 + TblMili[[#This Row],[Mods_Def]])</f>
        <v>276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276</v>
      </c>
      <c r="AB6" s="157"/>
      <c r="AC6" s="183">
        <f ca="1">(TblConstr[[#This Row],[Tot Smi]]+TblConstr[[#This Row],[Dest Smi]])/(TblConstr[[#This Row],[Land]]-TblExplore[[#This Row],[Land Bonus]]*20)</f>
        <v>0</v>
      </c>
      <c r="AD6" s="140"/>
      <c r="AE6" s="261">
        <f>TblMili[[#This Row],[Hour]]</f>
        <v>3</v>
      </c>
      <c r="AF6" s="141">
        <f ca="1">TblExplore[[#This Row],[Time]]</f>
        <v>45281.083333333328</v>
      </c>
      <c r="AG6" s="182"/>
      <c r="AH6" s="182"/>
      <c r="AI6" s="182"/>
      <c r="AJ6" s="182"/>
      <c r="AK6" s="182"/>
      <c r="AL6" s="182"/>
      <c r="AM6" s="182"/>
      <c r="AN6" s="182"/>
      <c r="AO6" s="145"/>
      <c r="AP6" s="97">
        <f ca="1">TblProd[[#This Row],[Platinum]]</f>
        <v>129790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45281.083333333328</v>
      </c>
      <c r="AV6" s="97">
        <f ca="1">TblMili[[#This Row],[Draftees]]</f>
        <v>276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ROUNDUP(IF(OR(race="Gnome", race="High Elf"),1,(1-MIN(TblMili[[#This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ROUNDUP(IF(OR(race="Gnome", race="High Elf"),1,(1-MIN(TblMili[[#This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ROUNDUP(IF(OR(race="Gnome", race="High Elf"),1,(1-MIN(TblMili[[#This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1240</v>
      </c>
      <c r="BP6" s="97">
        <f ca="1">ROUNDUP(IF(OR(race="Gnome", race="High Elf"),1,(1-MIN(TblMili[[#This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5700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 s="262">
        <f ca="1">TblMili[[#This Row],[Non Draft]]+TblMili[[#This Row],[Draftees]]</f>
        <v>290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0</v>
      </c>
      <c r="W7" s="262">
        <f ca="1">TblMili[[#This Row],[Draft]] * (1 + TblMili[[#This Row],[Mods_Def]])</f>
        <v>290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290</v>
      </c>
      <c r="AB7" s="157"/>
      <c r="AC7" s="183">
        <f ca="1">(TblConstr[[#This Row],[Tot Smi]]+TblConstr[[#This Row],[Dest Smi]])/(TblConstr[[#This Row],[Land]]-TblExplore[[#This Row],[Land Bonus]]*20)</f>
        <v>0</v>
      </c>
      <c r="AD7" s="140"/>
      <c r="AE7" s="261">
        <f>TblMili[[#This Row],[Hour]]</f>
        <v>4</v>
      </c>
      <c r="AF7" s="141">
        <f ca="1">TblExplore[[#This Row],[Time]]</f>
        <v>45281.124999999993</v>
      </c>
      <c r="AG7" s="182"/>
      <c r="AH7" s="182"/>
      <c r="AI7" s="182"/>
      <c r="AJ7" s="182"/>
      <c r="AK7" s="182"/>
      <c r="AL7" s="182"/>
      <c r="AM7" s="182"/>
      <c r="AN7" s="182"/>
      <c r="AO7" s="145"/>
      <c r="AP7" s="97">
        <f ca="1">TblProd[[#This Row],[Platinum]]</f>
        <v>134790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45281.124999999993</v>
      </c>
      <c r="AV7" s="97">
        <f ca="1">TblMili[[#This Row],[Draftees]]</f>
        <v>290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ROUNDUP(IF(OR(race="Gnome", race="High Elf"),1,(1-MIN(TblMili[[#This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ROUNDUP(IF(OR(race="Gnome", race="High Elf"),1,(1-MIN(TblMili[[#This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ROUNDUP(IF(OR(race="Gnome", race="High Elf"),1,(1-MIN(TblMili[[#This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1240</v>
      </c>
      <c r="BP7" s="97">
        <f ca="1">ROUNDUP(IF(OR(race="Gnome", race="High Elf"),1,(1-MIN(TblMili[[#This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5700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 s="262">
        <f ca="1">TblMili[[#This Row],[Non Draft]]+TblMili[[#This Row],[Draftees]]</f>
        <v>304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0</v>
      </c>
      <c r="W8" s="262">
        <f ca="1">TblMili[[#This Row],[Draft]] * (1 + TblMili[[#This Row],[Mods_Def]])</f>
        <v>304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304</v>
      </c>
      <c r="AB8" s="157"/>
      <c r="AC8" s="183">
        <f ca="1">(TblConstr[[#This Row],[Tot Smi]]+TblConstr[[#This Row],[Dest Smi]])/(TblConstr[[#This Row],[Land]]-TblExplore[[#This Row],[Land Bonus]]*20)</f>
        <v>0</v>
      </c>
      <c r="AD8" s="140"/>
      <c r="AE8" s="261">
        <f>TblMili[[#This Row],[Hour]]</f>
        <v>5</v>
      </c>
      <c r="AF8" s="141">
        <f ca="1">TblExplore[[#This Row],[Time]]</f>
        <v>45281.166666666657</v>
      </c>
      <c r="AG8" s="182"/>
      <c r="AH8" s="182"/>
      <c r="AI8" s="182"/>
      <c r="AJ8" s="182"/>
      <c r="AK8" s="182"/>
      <c r="AL8" s="182"/>
      <c r="AM8" s="182"/>
      <c r="AN8" s="182"/>
      <c r="AO8" s="145"/>
      <c r="AP8" s="97">
        <f ca="1">TblProd[[#This Row],[Platinum]]</f>
        <v>139860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45281.166666666657</v>
      </c>
      <c r="AV8" s="97">
        <f ca="1">TblMili[[#This Row],[Draftees]]</f>
        <v>304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ROUNDUP(IF(OR(race="Gnome", race="High Elf"),1,(1-MIN(TblMili[[#This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ROUNDUP(IF(OR(race="Gnome", race="High Elf"),1,(1-MIN(TblMili[[#This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ROUNDUP(IF(OR(race="Gnome", race="High Elf"),1,(1-MIN(TblMili[[#This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1240</v>
      </c>
      <c r="BP8" s="97">
        <f ca="1">ROUNDUP(IF(OR(race="Gnome", race="High Elf"),1,(1-MIN(TblMili[[#This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5700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 s="262">
        <f ca="1">TblMili[[#This Row],[Non Draft]]+TblMili[[#This Row],[Draftees]]</f>
        <v>318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0</v>
      </c>
      <c r="W9" s="262">
        <f ca="1">TblMili[[#This Row],[Draft]] * (1 + TblMili[[#This Row],[Mods_Def]])</f>
        <v>318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318</v>
      </c>
      <c r="AB9" s="157"/>
      <c r="AC9" s="183">
        <f ca="1">(TblConstr[[#This Row],[Tot Smi]]+TblConstr[[#This Row],[Dest Smi]])/(TblConstr[[#This Row],[Land]]-TblExplore[[#This Row],[Land Bonus]]*20)</f>
        <v>0</v>
      </c>
      <c r="AD9" s="140"/>
      <c r="AE9" s="261">
        <f>TblMili[[#This Row],[Hour]]</f>
        <v>6</v>
      </c>
      <c r="AF9" s="141">
        <f ca="1">TblExplore[[#This Row],[Time]]</f>
        <v>45281.208333333321</v>
      </c>
      <c r="AG9" s="182"/>
      <c r="AH9" s="182"/>
      <c r="AI9" s="182"/>
      <c r="AJ9" s="182"/>
      <c r="AK9" s="182"/>
      <c r="AL9" s="182"/>
      <c r="AM9" s="182"/>
      <c r="AN9" s="182"/>
      <c r="AO9" s="145"/>
      <c r="AP9" s="97">
        <f ca="1">TblProd[[#This Row],[Platinum]]</f>
        <v>145003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45281.208333333321</v>
      </c>
      <c r="AV9" s="97">
        <f ca="1">TblMili[[#This Row],[Draftees]]</f>
        <v>318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ROUNDUP(IF(OR(race="Gnome", race="High Elf"),1,(1-MIN(TblMili[[#This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ROUNDUP(IF(OR(race="Gnome", race="High Elf"),1,(1-MIN(TblMili[[#This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ROUNDUP(IF(OR(race="Gnome", race="High Elf"),1,(1-MIN(TblMili[[#This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1240</v>
      </c>
      <c r="BP9" s="97">
        <f ca="1">ROUNDUP(IF(OR(race="Gnome", race="High Elf"),1,(1-MIN(TblMili[[#This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5700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 s="262">
        <f ca="1">TblMili[[#This Row],[Non Draft]]+TblMili[[#This Row],[Draftees]]</f>
        <v>332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0</v>
      </c>
      <c r="W10" s="262">
        <f ca="1">TblMili[[#This Row],[Draft]] * (1 + TblMili[[#This Row],[Mods_Def]])</f>
        <v>332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332</v>
      </c>
      <c r="AB10" s="157"/>
      <c r="AC10" s="183">
        <f ca="1">(TblConstr[[#This Row],[Tot Smi]]+TblConstr[[#This Row],[Dest Smi]])/(TblConstr[[#This Row],[Land]]-TblExplore[[#This Row],[Land Bonus]]*20)</f>
        <v>0</v>
      </c>
      <c r="AD10" s="140"/>
      <c r="AE10" s="261">
        <f>TblMili[[#This Row],[Hour]]</f>
        <v>7</v>
      </c>
      <c r="AF10" s="141">
        <f ca="1">TblExplore[[#This Row],[Time]]</f>
        <v>45281.249999999985</v>
      </c>
      <c r="AG10" s="182"/>
      <c r="AH10" s="182"/>
      <c r="AI10" s="182"/>
      <c r="AJ10" s="182"/>
      <c r="AK10" s="182"/>
      <c r="AL10" s="182"/>
      <c r="AM10" s="182"/>
      <c r="AN10" s="182"/>
      <c r="AO10" s="145"/>
      <c r="AP10" s="97">
        <f ca="1">TblProd[[#This Row],[Platinum]]</f>
        <v>150222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45281.249999999985</v>
      </c>
      <c r="AV10" s="97">
        <f ca="1">TblMili[[#This Row],[Draftees]]</f>
        <v>332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ROUNDUP(IF(OR(race="Gnome", race="High Elf"),1,(1-MIN(TblMili[[#This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ROUNDUP(IF(OR(race="Gnome", race="High Elf"),1,(1-MIN(TblMili[[#This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ROUNDUP(IF(OR(race="Gnome", race="High Elf"),1,(1-MIN(TblMili[[#This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1240</v>
      </c>
      <c r="BP10" s="97">
        <f ca="1">ROUNDUP(IF(OR(race="Gnome", race="High Elf"),1,(1-MIN(TblMili[[#This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5700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 s="262">
        <f ca="1">TblMili[[#This Row],[Non Draft]]+TblMili[[#This Row],[Draftees]]</f>
        <v>347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0</v>
      </c>
      <c r="W11" s="262">
        <f ca="1">TblMili[[#This Row],[Draft]] * (1 + TblMili[[#This Row],[Mods_Def]])</f>
        <v>347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347</v>
      </c>
      <c r="AB11" s="157"/>
      <c r="AC11" s="183">
        <f ca="1">(TblConstr[[#This Row],[Tot Smi]]+TblConstr[[#This Row],[Dest Smi]])/(TblConstr[[#This Row],[Land]]-TblExplore[[#This Row],[Land Bonus]]*20)</f>
        <v>0</v>
      </c>
      <c r="AD11" s="140"/>
      <c r="AE11" s="261">
        <f>TblMili[[#This Row],[Hour]]</f>
        <v>8</v>
      </c>
      <c r="AF11" s="141">
        <f ca="1">TblExplore[[#This Row],[Time]]</f>
        <v>45281.29166666665</v>
      </c>
      <c r="AG11" s="182"/>
      <c r="AH11" s="182"/>
      <c r="AI11" s="182"/>
      <c r="AJ11" s="182"/>
      <c r="AK11" s="182"/>
      <c r="AL11" s="182"/>
      <c r="AM11" s="182"/>
      <c r="AN11" s="182"/>
      <c r="AO11" s="145"/>
      <c r="AP11" s="97">
        <f ca="1">TblProd[[#This Row],[Platinum]]</f>
        <v>155519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45281.29166666665</v>
      </c>
      <c r="AV11" s="97">
        <f ca="1">TblMili[[#This Row],[Draftees]]</f>
        <v>347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ROUNDUP(IF(OR(race="Gnome", race="High Elf"),1,(1-MIN(TblMili[[#This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ROUNDUP(IF(OR(race="Gnome", race="High Elf"),1,(1-MIN(TblMili[[#This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ROUNDUP(IF(OR(race="Gnome", race="High Elf"),1,(1-MIN(TblMili[[#This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1240</v>
      </c>
      <c r="BP11" s="97">
        <f ca="1">ROUNDUP(IF(OR(race="Gnome", race="High Elf"),1,(1-MIN(TblMili[[#This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5700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 s="262">
        <f ca="1">TblMili[[#This Row],[Non Draft]]+TblMili[[#This Row],[Draftees]]</f>
        <v>362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0</v>
      </c>
      <c r="W12" s="262">
        <f ca="1">TblMili[[#This Row],[Draft]] * (1 + TblMili[[#This Row],[Mods_Def]])</f>
        <v>362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362</v>
      </c>
      <c r="AB12" s="157"/>
      <c r="AC12" s="183">
        <f ca="1">(TblConstr[[#This Row],[Tot Smi]]+TblConstr[[#This Row],[Dest Smi]])/(TblConstr[[#This Row],[Land]]-TblExplore[[#This Row],[Land Bonus]]*20)</f>
        <v>0</v>
      </c>
      <c r="AD12" s="140"/>
      <c r="AE12" s="261">
        <f>TblMili[[#This Row],[Hour]]</f>
        <v>9</v>
      </c>
      <c r="AF12" s="141">
        <f ca="1">TblExplore[[#This Row],[Time]]</f>
        <v>45281.333333333314</v>
      </c>
      <c r="AG12" s="182"/>
      <c r="AH12" s="182"/>
      <c r="AI12" s="182"/>
      <c r="AJ12" s="182"/>
      <c r="AK12" s="182"/>
      <c r="AL12" s="182"/>
      <c r="AM12" s="182"/>
      <c r="AN12" s="182"/>
      <c r="AO12" s="145"/>
      <c r="AP12" s="97">
        <f ca="1">TblProd[[#This Row],[Platinum]]</f>
        <v>160892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45281.333333333314</v>
      </c>
      <c r="AV12" s="97">
        <f ca="1">TblMili[[#This Row],[Draftees]]</f>
        <v>362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ROUNDUP(IF(OR(race="Gnome", race="High Elf"),1,(1-MIN(TblMili[[#This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ROUNDUP(IF(OR(race="Gnome", race="High Elf"),1,(1-MIN(TblMili[[#This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ROUNDUP(IF(OR(race="Gnome", race="High Elf"),1,(1-MIN(TblMili[[#This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1240</v>
      </c>
      <c r="BP12" s="97">
        <f ca="1">ROUNDUP(IF(OR(race="Gnome", race="High Elf"),1,(1-MIN(TblMili[[#This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501</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5700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 s="262">
        <f ca="1">TblMili[[#This Row],[Non Draft]]+TblMili[[#This Row],[Draftees]]</f>
        <v>377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0</v>
      </c>
      <c r="W13" s="262">
        <f ca="1">TblMili[[#This Row],[Draft]] * (1 + TblMili[[#This Row],[Mods_Def]])</f>
        <v>377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377</v>
      </c>
      <c r="AB13" s="157"/>
      <c r="AC13" s="183">
        <f ca="1">(TblConstr[[#This Row],[Tot Smi]]+TblConstr[[#This Row],[Dest Smi]])/(TblConstr[[#This Row],[Land]]-TblExplore[[#This Row],[Land Bonus]]*20)</f>
        <v>0</v>
      </c>
      <c r="AD13" s="140"/>
      <c r="AE13" s="261">
        <f>TblMili[[#This Row],[Hour]]</f>
        <v>10</v>
      </c>
      <c r="AF13" s="141">
        <f ca="1">TblExplore[[#This Row],[Time]]</f>
        <v>45281.374999999978</v>
      </c>
      <c r="AG13" s="182"/>
      <c r="AH13" s="182"/>
      <c r="AI13" s="182"/>
      <c r="AJ13" s="182"/>
      <c r="AK13" s="182"/>
      <c r="AL13" s="182"/>
      <c r="AM13" s="182"/>
      <c r="AN13" s="182"/>
      <c r="AO13" s="145"/>
      <c r="AP13" s="97">
        <f ca="1">TblProd[[#This Row],[Platinum]]</f>
        <v>166343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45281.374999999978</v>
      </c>
      <c r="AV13" s="97">
        <f ca="1">TblMili[[#This Row],[Draftees]]</f>
        <v>377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ROUNDUP(IF(OR(race="Gnome", race="High Elf"),1,(1-MIN(TblMili[[#This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ROUNDUP(IF(OR(race="Gnome", race="High Elf"),1,(1-MIN(TblMili[[#This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ROUNDUP(IF(OR(race="Gnome", race="High Elf"),1,(1-MIN(TblMili[[#This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1240</v>
      </c>
      <c r="BP13" s="97">
        <f ca="1">ROUNDUP(IF(OR(race="Gnome", race="High Elf"),1,(1-MIN(TblMili[[#This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t="s">
        <v>1124</v>
      </c>
      <c r="CL13" s="267" t="b">
        <f t="shared" si="1"/>
        <v>0</v>
      </c>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5700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4" s="262">
        <f ca="1">TblMili[[#This Row],[Non Draft]]+TblMili[[#This Row],[Draftees]]</f>
        <v>392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0</v>
      </c>
      <c r="W14" s="262">
        <f ca="1">TblMili[[#This Row],[Draft]] * (1 + TblMili[[#This Row],[Mods_Def]])</f>
        <v>392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392</v>
      </c>
      <c r="AB14" s="157"/>
      <c r="AC14" s="183">
        <f ca="1">(TblConstr[[#This Row],[Tot Smi]]+TblConstr[[#This Row],[Dest Smi]])/(TblConstr[[#This Row],[Land]]-TblExplore[[#This Row],[Land Bonus]]*20)</f>
        <v>0</v>
      </c>
      <c r="AD14" s="140"/>
      <c r="AE14" s="261">
        <f>TblMili[[#This Row],[Hour]]</f>
        <v>11</v>
      </c>
      <c r="AF14" s="141">
        <f ca="1">TblExplore[[#This Row],[Time]]</f>
        <v>45281.416666666642</v>
      </c>
      <c r="AG14" s="182"/>
      <c r="AH14" s="182"/>
      <c r="AI14" s="182"/>
      <c r="AJ14" s="182"/>
      <c r="AK14" s="182"/>
      <c r="AL14" s="182"/>
      <c r="AM14" s="182"/>
      <c r="AN14" s="182"/>
      <c r="AO14" s="145"/>
      <c r="AP14" s="97">
        <f ca="1">TblProd[[#This Row],[Platinum]]</f>
        <v>171875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45281.416666666642</v>
      </c>
      <c r="AV14" s="97">
        <f ca="1">TblMili[[#This Row],[Draftees]]</f>
        <v>392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ROUNDUP(IF(OR(race="Gnome", race="High Elf"),1,(1-MIN(TblMili[[#This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ROUNDUP(IF(OR(race="Gnome", race="High Elf"),1,(1-MIN(TblMili[[#This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ROUNDUP(IF(OR(race="Gnome", race="High Elf"),1,(1-MIN(TblMili[[#This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1240</v>
      </c>
      <c r="BP14" s="97">
        <f ca="1">ROUNDUP(IF(OR(race="Gnome", race="High Elf"),1,(1-MIN(TblMili[[#This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5700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5" s="262">
        <f ca="1">TblMili[[#This Row],[Non Draft]]+TblMili[[#This Row],[Draftees]]</f>
        <v>408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0</v>
      </c>
      <c r="W15" s="262">
        <f ca="1">TblMili[[#This Row],[Draft]] * (1 + TblMili[[#This Row],[Mods_Def]])</f>
        <v>408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408</v>
      </c>
      <c r="AB15" s="157"/>
      <c r="AC15" s="183">
        <f ca="1">(TblConstr[[#This Row],[Tot Smi]]+TblConstr[[#This Row],[Dest Smi]])/(TblConstr[[#This Row],[Land]]-TblExplore[[#This Row],[Land Bonus]]*20)</f>
        <v>0</v>
      </c>
      <c r="AD15" s="140"/>
      <c r="AE15" s="261">
        <f>TblMili[[#This Row],[Hour]]</f>
        <v>12</v>
      </c>
      <c r="AF15" s="141">
        <f ca="1">TblExplore[[#This Row],[Time]]</f>
        <v>45281.458333333307</v>
      </c>
      <c r="AG15" s="182"/>
      <c r="AH15" s="182"/>
      <c r="AI15" s="182"/>
      <c r="AJ15" s="182"/>
      <c r="AK15" s="182"/>
      <c r="AL15" s="182"/>
      <c r="AM15" s="182"/>
      <c r="AN15" s="182"/>
      <c r="AO15" s="145"/>
      <c r="AP15" s="97">
        <f ca="1">TblProd[[#This Row],[Platinum]]</f>
        <v>177491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45281.458333333307</v>
      </c>
      <c r="AV15" s="97">
        <f ca="1">TblMili[[#This Row],[Draftees]]</f>
        <v>408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ROUNDUP(IF(OR(race="Gnome", race="High Elf"),1,(1-MIN(TblMili[[#This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ROUNDUP(IF(OR(race="Gnome", race="High Elf"),1,(1-MIN(TblMili[[#This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ROUNDUP(IF(OR(race="Gnome", race="High Elf"),1,(1-MIN(TblMili[[#This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1240</v>
      </c>
      <c r="BP15" s="97">
        <f ca="1">ROUNDUP(IF(OR(race="Gnome", race="High Elf"),1,(1-MIN(TblMili[[#This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5700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6" s="262">
        <f ca="1">TblMili[[#This Row],[Non Draft]]+TblMili[[#This Row],[Draftees]]</f>
        <v>424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0</v>
      </c>
      <c r="W16" s="262">
        <f ca="1">TblMili[[#This Row],[Draft]] * (1 + TblMili[[#This Row],[Mods_Def]])</f>
        <v>424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424</v>
      </c>
      <c r="AB16" s="157"/>
      <c r="AC16" s="183">
        <f ca="1">(TblConstr[[#This Row],[Tot Smi]]+TblConstr[[#This Row],[Dest Smi]])/(TblConstr[[#This Row],[Land]]-TblExplore[[#This Row],[Land Bonus]]*20)</f>
        <v>0</v>
      </c>
      <c r="AD16" s="261"/>
      <c r="AE16" s="261">
        <f>TblMili[[#This Row],[Hour]]</f>
        <v>13</v>
      </c>
      <c r="AF16" s="141">
        <f ca="1">TblExplore[[#This Row],[Time]]</f>
        <v>45281.499999999971</v>
      </c>
      <c r="AG16" s="182"/>
      <c r="AH16" s="182"/>
      <c r="AI16" s="182"/>
      <c r="AJ16" s="182"/>
      <c r="AK16" s="182"/>
      <c r="AL16" s="182"/>
      <c r="AM16" s="182"/>
      <c r="AN16" s="182"/>
      <c r="AO16" s="145"/>
      <c r="AP16" s="97">
        <f ca="1">TblProd[[#This Row],[Platinum]]</f>
        <v>183161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45281.499999999971</v>
      </c>
      <c r="AV16" s="97">
        <f ca="1">TblMili[[#This Row],[Draftees]]</f>
        <v>424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ROUNDUP(IF(OR(race="Gnome", race="High Elf"),1,(1-MIN(TblMili[[#This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ROUNDUP(IF(OR(race="Gnome", race="High Elf"),1,(1-MIN(TblMili[[#This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ROUNDUP(IF(OR(race="Gnome", race="High Elf"),1,(1-MIN(TblMili[[#This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1240</v>
      </c>
      <c r="BP16" s="97">
        <f ca="1">ROUNDUP(IF(OR(race="Gnome", race="High Elf"),1,(1-MIN(TblMili[[#This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5700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7" s="262">
        <f ca="1">TblMili[[#This Row],[Non Draft]]+TblMili[[#This Row],[Draftees]]</f>
        <v>440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0</v>
      </c>
      <c r="W17" s="262">
        <f ca="1">TblMili[[#This Row],[Draft]] * (1 + TblMili[[#This Row],[Mods_Def]])</f>
        <v>440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440</v>
      </c>
      <c r="AB17" s="157"/>
      <c r="AC17" s="183">
        <f ca="1">(TblConstr[[#This Row],[Tot Smi]]+TblConstr[[#This Row],[Dest Smi]])/(TblConstr[[#This Row],[Land]]-TblExplore[[#This Row],[Land Bonus]]*20)</f>
        <v>0</v>
      </c>
      <c r="AD17" s="140"/>
      <c r="AE17" s="261">
        <f>TblMili[[#This Row],[Hour]]</f>
        <v>14</v>
      </c>
      <c r="AF17" s="141">
        <f ca="1">TblExplore[[#This Row],[Time]]</f>
        <v>45281.541666666635</v>
      </c>
      <c r="AG17" s="182"/>
      <c r="AH17" s="182"/>
      <c r="AI17" s="182"/>
      <c r="AJ17" s="182"/>
      <c r="AK17" s="182"/>
      <c r="AL17" s="182"/>
      <c r="AM17" s="182"/>
      <c r="AN17" s="182"/>
      <c r="AO17" s="145"/>
      <c r="AP17" s="97">
        <f ca="1">TblProd[[#This Row],[Platinum]]</f>
        <v>188831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45281.541666666635</v>
      </c>
      <c r="AV17" s="97">
        <f ca="1">TblMili[[#This Row],[Draftees]]</f>
        <v>440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ROUNDUP(IF(OR(race="Gnome", race="High Elf"),1,(1-MIN(TblMili[[#This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ROUNDUP(IF(OR(race="Gnome", race="High Elf"),1,(1-MIN(TblMili[[#This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ROUNDUP(IF(OR(race="Gnome", race="High Elf"),1,(1-MIN(TblMili[[#This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1240</v>
      </c>
      <c r="BP17" s="97">
        <f ca="1">ROUNDUP(IF(OR(race="Gnome", race="High Elf"),1,(1-MIN(TblMili[[#This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522</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5700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8" s="262">
        <f ca="1">TblMili[[#This Row],[Non Draft]]+TblMili[[#This Row],[Draftees]]</f>
        <v>457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0</v>
      </c>
      <c r="W18" s="262">
        <f ca="1">TblMili[[#This Row],[Draft]] * (1 + TblMili[[#This Row],[Mods_Def]])</f>
        <v>457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457</v>
      </c>
      <c r="AB18" s="157"/>
      <c r="AC18" s="183">
        <f ca="1">(TblConstr[[#This Row],[Tot Smi]]+TblConstr[[#This Row],[Dest Smi]])/(TblConstr[[#This Row],[Land]]-TblExplore[[#This Row],[Land Bonus]]*20)</f>
        <v>0</v>
      </c>
      <c r="AD18" s="140"/>
      <c r="AE18" s="261">
        <f>TblMili[[#This Row],[Hour]]</f>
        <v>15</v>
      </c>
      <c r="AF18" s="141">
        <f ca="1">TblExplore[[#This Row],[Time]]</f>
        <v>45281.583333333299</v>
      </c>
      <c r="AG18" s="182"/>
      <c r="AH18" s="182"/>
      <c r="AI18" s="182"/>
      <c r="AJ18" s="182"/>
      <c r="AK18" s="182"/>
      <c r="AL18" s="182"/>
      <c r="AM18" s="182"/>
      <c r="AN18" s="182"/>
      <c r="AO18" s="145"/>
      <c r="AP18" s="97">
        <f ca="1">TblProd[[#This Row],[Platinum]]</f>
        <v>194501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45281.583333333299</v>
      </c>
      <c r="AV18" s="97">
        <f ca="1">TblMili[[#This Row],[Draftees]]</f>
        <v>457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ROUNDUP(IF(OR(race="Gnome", race="High Elf"),1,(1-MIN(TblMili[[#This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ROUNDUP(IF(OR(race="Gnome", race="High Elf"),1,(1-MIN(TblMili[[#This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ROUNDUP(IF(OR(race="Gnome", race="High Elf"),1,(1-MIN(TblMili[[#This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1240</v>
      </c>
      <c r="BP18" s="97">
        <f ca="1">ROUNDUP(IF(OR(race="Gnome", race="High Elf"),1,(1-MIN(TblMili[[#This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523</v>
      </c>
      <c r="CL18" s="267">
        <f>VLOOKUP(Overview!$A24,Races!$D$4:$H$117,2,FALSE)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5700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9" s="262">
        <f ca="1">TblMili[[#This Row],[Non Draft]]+TblMili[[#This Row],[Draftees]]</f>
        <v>474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0</v>
      </c>
      <c r="W19" s="262">
        <f ca="1">TblMili[[#This Row],[Draft]] * (1 + TblMili[[#This Row],[Mods_Def]])</f>
        <v>474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474</v>
      </c>
      <c r="AB19" s="157"/>
      <c r="AC19" s="183">
        <f ca="1">(TblConstr[[#This Row],[Tot Smi]]+TblConstr[[#This Row],[Dest Smi]])/(TblConstr[[#This Row],[Land]]-TblExplore[[#This Row],[Land Bonus]]*20)</f>
        <v>0</v>
      </c>
      <c r="AD19" s="140"/>
      <c r="AE19" s="261">
        <f>TblMili[[#This Row],[Hour]]</f>
        <v>16</v>
      </c>
      <c r="AF19" s="141">
        <f ca="1">TblExplore[[#This Row],[Time]]</f>
        <v>45281.624999999964</v>
      </c>
      <c r="AG19" s="182"/>
      <c r="AH19" s="182"/>
      <c r="AI19" s="182"/>
      <c r="AJ19" s="182"/>
      <c r="AK19" s="182"/>
      <c r="AL19" s="182"/>
      <c r="AM19" s="182"/>
      <c r="AN19" s="182"/>
      <c r="AO19" s="145"/>
      <c r="AP19" s="97">
        <f ca="1">TblProd[[#This Row],[Platinum]]</f>
        <v>200171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45281.624999999964</v>
      </c>
      <c r="AV19" s="97">
        <f ca="1">TblMili[[#This Row],[Draftees]]</f>
        <v>474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ROUNDUP(IF(OR(race="Gnome", race="High Elf"),1,(1-MIN(TblMili[[#This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ROUNDUP(IF(OR(race="Gnome", race="High Elf"),1,(1-MIN(TblMili[[#This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ROUNDUP(IF(OR(race="Gnome", race="High Elf"),1,(1-MIN(TblMili[[#This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1240</v>
      </c>
      <c r="BP19" s="97">
        <f ca="1">ROUNDUP(IF(OR(race="Gnome", race="High Elf"),1,(1-MIN(TblMili[[#This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524</v>
      </c>
      <c r="CL19" s="267">
        <f>VLOOKUP(Overview!$A24,Races!$D$4:$H$117,3,FALSE)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5700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0" s="262">
        <f ca="1">TblMili[[#This Row],[Non Draft]]+TblMili[[#This Row],[Draftees]]</f>
        <v>491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0</v>
      </c>
      <c r="W20" s="262">
        <f ca="1">TblMili[[#This Row],[Draft]] * (1 + TblMili[[#This Row],[Mods_Def]])</f>
        <v>491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491</v>
      </c>
      <c r="AB20" s="157"/>
      <c r="AC20" s="183">
        <f ca="1">(TblConstr[[#This Row],[Tot Smi]]+TblConstr[[#This Row],[Dest Smi]])/(TblConstr[[#This Row],[Land]]-TblExplore[[#This Row],[Land Bonus]]*20)</f>
        <v>0</v>
      </c>
      <c r="AD20" s="140"/>
      <c r="AE20" s="261">
        <f>TblMili[[#This Row],[Hour]]</f>
        <v>17</v>
      </c>
      <c r="AF20" s="141">
        <f ca="1">TblExplore[[#This Row],[Time]]</f>
        <v>45281.666666666628</v>
      </c>
      <c r="AG20" s="182"/>
      <c r="AH20" s="182"/>
      <c r="AI20" s="182"/>
      <c r="AJ20" s="182"/>
      <c r="AK20" s="182"/>
      <c r="AL20" s="182"/>
      <c r="AM20" s="182"/>
      <c r="AN20" s="182"/>
      <c r="AO20" s="145"/>
      <c r="AP20" s="97">
        <f ca="1">TblProd[[#This Row],[Platinum]]</f>
        <v>205841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45281.666666666628</v>
      </c>
      <c r="AV20" s="97">
        <f ca="1">TblMili[[#This Row],[Draftees]]</f>
        <v>491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ROUNDUP(IF(OR(race="Gnome", race="High Elf"),1,(1-MIN(TblMili[[#This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ROUNDUP(IF(OR(race="Gnome", race="High Elf"),1,(1-MIN(TblMili[[#This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ROUNDUP(IF(OR(race="Gnome", race="High Elf"),1,(1-MIN(TblMili[[#This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1240</v>
      </c>
      <c r="BP20" s="97">
        <f ca="1">ROUNDUP(IF(OR(race="Gnome", race="High Elf"),1,(1-MIN(TblMili[[#This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526</v>
      </c>
      <c r="CL20" s="267">
        <f>VLOOKUP(Overview!$A25,Races!$D$4:$H$117,2,FALSE)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5700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1" s="262">
        <f ca="1">TblMili[[#This Row],[Non Draft]]+TblMili[[#This Row],[Draftees]]</f>
        <v>509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0</v>
      </c>
      <c r="W21" s="262">
        <f ca="1">TblMili[[#This Row],[Draft]] * (1 + TblMili[[#This Row],[Mods_Def]])</f>
        <v>509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509</v>
      </c>
      <c r="AB21" s="157"/>
      <c r="AC21" s="183">
        <f ca="1">(TblConstr[[#This Row],[Tot Smi]]+TblConstr[[#This Row],[Dest Smi]])/(TblConstr[[#This Row],[Land]]-TblExplore[[#This Row],[Land Bonus]]*20)</f>
        <v>0</v>
      </c>
      <c r="AD21" s="140"/>
      <c r="AE21" s="261">
        <f>TblMili[[#This Row],[Hour]]</f>
        <v>18</v>
      </c>
      <c r="AF21" s="141">
        <f ca="1">TblExplore[[#This Row],[Time]]</f>
        <v>45281.708333333292</v>
      </c>
      <c r="AG21" s="182"/>
      <c r="AH21" s="182"/>
      <c r="AI21" s="182"/>
      <c r="AJ21" s="182"/>
      <c r="AK21" s="182"/>
      <c r="AL21" s="182"/>
      <c r="AM21" s="182"/>
      <c r="AN21" s="182"/>
      <c r="AO21" s="145"/>
      <c r="AP21" s="97">
        <f ca="1">TblProd[[#This Row],[Platinum]]</f>
        <v>211511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45281.708333333292</v>
      </c>
      <c r="AV21" s="97">
        <f ca="1">TblMili[[#This Row],[Draftees]]</f>
        <v>509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ROUNDUP(IF(OR(race="Gnome", race="High Elf"),1,(1-MIN(TblMili[[#This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ROUNDUP(IF(OR(race="Gnome", race="High Elf"),1,(1-MIN(TblMili[[#This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ROUNDUP(IF(OR(race="Gnome", race="High Elf"),1,(1-MIN(TblMili[[#This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1240</v>
      </c>
      <c r="BP21" s="97">
        <f ca="1">ROUNDUP(IF(OR(race="Gnome", race="High Elf"),1,(1-MIN(TblMili[[#This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525</v>
      </c>
      <c r="CL21" s="267">
        <f>VLOOKUP(Overview!$A25,Races!$D$4:$H$117,3,FALSE)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5700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2" s="262">
        <f ca="1">TblMili[[#This Row],[Non Draft]]+TblMili[[#This Row],[Draftees]]</f>
        <v>527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0</v>
      </c>
      <c r="W22" s="262">
        <f ca="1">TblMili[[#This Row],[Draft]] * (1 + TblMili[[#This Row],[Mods_Def]])</f>
        <v>527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527</v>
      </c>
      <c r="AB22" s="157"/>
      <c r="AC22" s="183">
        <f ca="1">(TblConstr[[#This Row],[Tot Smi]]+TblConstr[[#This Row],[Dest Smi]])/(TblConstr[[#This Row],[Land]]-TblExplore[[#This Row],[Land Bonus]]*20)</f>
        <v>0</v>
      </c>
      <c r="AD22" s="140"/>
      <c r="AE22" s="261">
        <f>TblMili[[#This Row],[Hour]]</f>
        <v>19</v>
      </c>
      <c r="AF22" s="141">
        <f ca="1">TblExplore[[#This Row],[Time]]</f>
        <v>45281.749999999956</v>
      </c>
      <c r="AG22" s="182"/>
      <c r="AH22" s="182"/>
      <c r="AI22" s="182"/>
      <c r="AJ22" s="182"/>
      <c r="AK22" s="182"/>
      <c r="AL22" s="182"/>
      <c r="AM22" s="182"/>
      <c r="AN22" s="182"/>
      <c r="AO22" s="145"/>
      <c r="AP22" s="97">
        <f ca="1">TblProd[[#This Row],[Platinum]]</f>
        <v>217181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45281.749999999956</v>
      </c>
      <c r="AV22" s="97">
        <f ca="1">TblMili[[#This Row],[Draftees]]</f>
        <v>527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ROUNDUP(IF(OR(race="Gnome", race="High Elf"),1,(1-MIN(TblMili[[#This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ROUNDUP(IF(OR(race="Gnome", race="High Elf"),1,(1-MIN(TblMili[[#This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ROUNDUP(IF(OR(race="Gnome", race="High Elf"),1,(1-MIN(TblMili[[#This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1240</v>
      </c>
      <c r="BP22" s="97">
        <f ca="1">ROUNDUP(IF(OR(race="Gnome", race="High Elf"),1,(1-MIN(TblMili[[#This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5700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3" s="262">
        <f ca="1">TblMili[[#This Row],[Non Draft]]+TblMili[[#This Row],[Draftees]]</f>
        <v>545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0</v>
      </c>
      <c r="W23" s="262">
        <f ca="1">TblMili[[#This Row],[Draft]] * (1 + TblMili[[#This Row],[Mods_Def]])</f>
        <v>545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545</v>
      </c>
      <c r="AB23" s="157"/>
      <c r="AC23" s="183">
        <f ca="1">(TblConstr[[#This Row],[Tot Smi]]+TblConstr[[#This Row],[Dest Smi]])/(TblConstr[[#This Row],[Land]]-TblExplore[[#This Row],[Land Bonus]]*20)</f>
        <v>0</v>
      </c>
      <c r="AD23" s="140"/>
      <c r="AE23" s="261">
        <f>TblMili[[#This Row],[Hour]]</f>
        <v>20</v>
      </c>
      <c r="AF23" s="141">
        <f ca="1">TblExplore[[#This Row],[Time]]</f>
        <v>45281.791666666621</v>
      </c>
      <c r="AG23" s="182"/>
      <c r="AH23" s="182"/>
      <c r="AI23" s="182"/>
      <c r="AJ23" s="182"/>
      <c r="AK23" s="182"/>
      <c r="AL23" s="182"/>
      <c r="AM23" s="182"/>
      <c r="AN23" s="182"/>
      <c r="AO23" s="145"/>
      <c r="AP23" s="97">
        <f ca="1">TblProd[[#This Row],[Platinum]]</f>
        <v>222851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45281.791666666621</v>
      </c>
      <c r="AV23" s="97">
        <f ca="1">TblMili[[#This Row],[Draftees]]</f>
        <v>545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ROUNDUP(IF(OR(race="Gnome", race="High Elf"),1,(1-MIN(TblMili[[#This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ROUNDUP(IF(OR(race="Gnome", race="High Elf"),1,(1-MIN(TblMili[[#This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ROUNDUP(IF(OR(race="Gnome", race="High Elf"),1,(1-MIN(TblMili[[#This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1240</v>
      </c>
      <c r="BP23" s="97">
        <f ca="1">ROUNDUP(IF(OR(race="Gnome", race="High Elf"),1,(1-MIN(TblMili[[#This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5700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4" s="262">
        <f ca="1">TblMili[[#This Row],[Non Draft]]+TblMili[[#This Row],[Draftees]]</f>
        <v>563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0</v>
      </c>
      <c r="W24" s="262">
        <f ca="1">TblMili[[#This Row],[Draft]] * (1 + TblMili[[#This Row],[Mods_Def]])</f>
        <v>563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563</v>
      </c>
      <c r="AB24" s="157"/>
      <c r="AC24" s="183">
        <f ca="1">(TblConstr[[#This Row],[Tot Smi]]+TblConstr[[#This Row],[Dest Smi]])/(TblConstr[[#This Row],[Land]]-TblExplore[[#This Row],[Land Bonus]]*20)</f>
        <v>0</v>
      </c>
      <c r="AD24" s="140"/>
      <c r="AE24" s="261">
        <f>TblMili[[#This Row],[Hour]]</f>
        <v>21</v>
      </c>
      <c r="AF24" s="141">
        <f ca="1">TblExplore[[#This Row],[Time]]</f>
        <v>45281.833333333285</v>
      </c>
      <c r="AG24" s="182"/>
      <c r="AH24" s="182"/>
      <c r="AI24" s="182"/>
      <c r="AJ24" s="182"/>
      <c r="AK24" s="182"/>
      <c r="AL24" s="182"/>
      <c r="AM24" s="182"/>
      <c r="AN24" s="182"/>
      <c r="AO24" s="145"/>
      <c r="AP24" s="97">
        <f ca="1">TblProd[[#This Row],[Platinum]]</f>
        <v>228521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45281.833333333285</v>
      </c>
      <c r="AV24" s="97">
        <f ca="1">TblMili[[#This Row],[Draftees]]</f>
        <v>563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ROUNDUP(IF(OR(race="Gnome", race="High Elf"),1,(1-MIN(TblMili[[#This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ROUNDUP(IF(OR(race="Gnome", race="High Elf"),1,(1-MIN(TblMili[[#This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ROUNDUP(IF(OR(race="Gnome", race="High Elf"),1,(1-MIN(TblMili[[#This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1240</v>
      </c>
      <c r="BP24" s="97">
        <f ca="1">ROUNDUP(IF(OR(race="Gnome", race="High Elf"),1,(1-MIN(TblMili[[#This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5700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5" s="262">
        <f ca="1">TblMili[[#This Row],[Non Draft]]+TblMili[[#This Row],[Draftees]]</f>
        <v>580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0</v>
      </c>
      <c r="W25" s="262">
        <f ca="1">TblMili[[#This Row],[Draft]] * (1 + TblMili[[#This Row],[Mods_Def]])</f>
        <v>580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580</v>
      </c>
      <c r="AB25" s="157"/>
      <c r="AC25" s="183">
        <f ca="1">(TblConstr[[#This Row],[Tot Smi]]+TblConstr[[#This Row],[Dest Smi]])/(TblConstr[[#This Row],[Land]]-TblExplore[[#This Row],[Land Bonus]]*20)</f>
        <v>0</v>
      </c>
      <c r="AD25" s="140"/>
      <c r="AE25" s="261">
        <f>TblMili[[#This Row],[Hour]]</f>
        <v>22</v>
      </c>
      <c r="AF25" s="141">
        <f ca="1">TblExplore[[#This Row],[Time]]</f>
        <v>45281.874999999949</v>
      </c>
      <c r="AG25" s="182"/>
      <c r="AH25" s="182"/>
      <c r="AI25" s="182"/>
      <c r="AJ25" s="182"/>
      <c r="AK25" s="182"/>
      <c r="AL25" s="182"/>
      <c r="AM25" s="182"/>
      <c r="AN25" s="182"/>
      <c r="AO25" s="145"/>
      <c r="AP25" s="97">
        <f ca="1">TblProd[[#This Row],[Platinum]]</f>
        <v>234191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45281.874999999949</v>
      </c>
      <c r="AV25" s="97">
        <f ca="1">TblMili[[#This Row],[Draftees]]</f>
        <v>580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ROUNDUP(IF(OR(race="Gnome", race="High Elf"),1,(1-MIN(TblMili[[#This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ROUNDUP(IF(OR(race="Gnome", race="High Elf"),1,(1-MIN(TblMili[[#This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ROUNDUP(IF(OR(race="Gnome", race="High Elf"),1,(1-MIN(TblMili[[#This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1240</v>
      </c>
      <c r="BP25" s="97">
        <f ca="1">ROUNDUP(IF(OR(race="Gnome", race="High Elf"),1,(1-MIN(TblMili[[#This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5700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6" s="262">
        <f ca="1">TblMili[[#This Row],[Non Draft]]+TblMili[[#This Row],[Draftees]]</f>
        <v>597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0</v>
      </c>
      <c r="W26" s="262">
        <f ca="1">TblMili[[#This Row],[Draft]] * (1 + TblMili[[#This Row],[Mods_Def]])</f>
        <v>597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597</v>
      </c>
      <c r="AB26" s="157"/>
      <c r="AC26" s="183">
        <f ca="1">(TblConstr[[#This Row],[Tot Smi]]+TblConstr[[#This Row],[Dest Smi]])/(TblConstr[[#This Row],[Land]]-TblExplore[[#This Row],[Land Bonus]]*20)</f>
        <v>0</v>
      </c>
      <c r="AD26" s="140"/>
      <c r="AE26" s="261">
        <f>TblMili[[#This Row],[Hour]]</f>
        <v>23</v>
      </c>
      <c r="AF26" s="141">
        <f ca="1">TblExplore[[#This Row],[Time]]</f>
        <v>45281.916666666613</v>
      </c>
      <c r="AG26" s="182"/>
      <c r="AH26" s="182"/>
      <c r="AI26" s="182"/>
      <c r="AJ26" s="182"/>
      <c r="AK26" s="182"/>
      <c r="AL26" s="182"/>
      <c r="AM26" s="182"/>
      <c r="AN26" s="182"/>
      <c r="AO26" s="145"/>
      <c r="AP26" s="97">
        <f ca="1">TblProd[[#This Row],[Platinum]]</f>
        <v>239861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45281.916666666613</v>
      </c>
      <c r="AV26" s="97">
        <f ca="1">TblMili[[#This Row],[Draftees]]</f>
        <v>597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ROUNDUP(IF(OR(race="Gnome", race="High Elf"),1,(1-MIN(TblMili[[#This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ROUNDUP(IF(OR(race="Gnome", race="High Elf"),1,(1-MIN(TblMili[[#This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ROUNDUP(IF(OR(race="Gnome", race="High Elf"),1,(1-MIN(TblMili[[#This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1240</v>
      </c>
      <c r="BP26" s="97">
        <f ca="1">ROUNDUP(IF(OR(race="Gnome", race="High Elf"),1,(1-MIN(TblMili[[#This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5700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7" s="262">
        <f ca="1">TblMili[[#This Row],[Non Draft]]+TblMili[[#This Row],[Draftees]]</f>
        <v>614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0</v>
      </c>
      <c r="W27" s="262">
        <f ca="1">TblMili[[#This Row],[Draft]] * (1 + TblMili[[#This Row],[Mods_Def]])</f>
        <v>614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614</v>
      </c>
      <c r="AB27" s="157"/>
      <c r="AC27" s="183">
        <f ca="1">(TblConstr[[#This Row],[Tot Smi]]+TblConstr[[#This Row],[Dest Smi]])/(TblConstr[[#This Row],[Land]]-TblExplore[[#This Row],[Land Bonus]]*20)</f>
        <v>0</v>
      </c>
      <c r="AD27" s="140"/>
      <c r="AE27" s="261">
        <f>TblMili[[#This Row],[Hour]]</f>
        <v>24</v>
      </c>
      <c r="AF27" s="141">
        <f ca="1">TblExplore[[#This Row],[Time]]</f>
        <v>45281.958333333278</v>
      </c>
      <c r="AG27" s="182"/>
      <c r="AH27" s="182"/>
      <c r="AI27" s="182"/>
      <c r="AJ27" s="182"/>
      <c r="AK27" s="182"/>
      <c r="AL27" s="182"/>
      <c r="AM27" s="182"/>
      <c r="AN27" s="182"/>
      <c r="AO27" s="145"/>
      <c r="AP27" s="97">
        <f ca="1">TblProd[[#This Row],[Platinum]]</f>
        <v>245531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45281.958333333278</v>
      </c>
      <c r="AV27" s="97">
        <f ca="1">TblMili[[#This Row],[Draftees]]</f>
        <v>614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ROUNDUP(IF(OR(race="Gnome", race="High Elf"),1,(1-MIN(TblMili[[#This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ROUNDUP(IF(OR(race="Gnome", race="High Elf"),1,(1-MIN(TblMili[[#This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ROUNDUP(IF(OR(race="Gnome", race="High Elf"),1,(1-MIN(TblMili[[#This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1240</v>
      </c>
      <c r="BP27" s="97">
        <f ca="1">ROUNDUP(IF(OR(race="Gnome", race="High Elf"),1,(1-MIN(TblMili[[#This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5700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8" s="262">
        <f ca="1">TblMili[[#This Row],[Non Draft]]+TblMili[[#This Row],[Draftees]]</f>
        <v>631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0</v>
      </c>
      <c r="W28" s="262">
        <f ca="1">TblMili[[#This Row],[Draft]] * (1 + TblMili[[#This Row],[Mods_Def]])</f>
        <v>631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631</v>
      </c>
      <c r="AB28" s="157"/>
      <c r="AC28" s="183">
        <f ca="1">(TblConstr[[#This Row],[Tot Smi]]+TblConstr[[#This Row],[Dest Smi]])/(TblConstr[[#This Row],[Land]]-TblExplore[[#This Row],[Land Bonus]]*20)</f>
        <v>0</v>
      </c>
      <c r="AD28" s="140"/>
      <c r="AE28" s="261">
        <f>TblMili[[#This Row],[Hour]]</f>
        <v>25</v>
      </c>
      <c r="AF28" s="141">
        <f ca="1">TblExplore[[#This Row],[Time]]</f>
        <v>45281.999999999942</v>
      </c>
      <c r="AG28" s="182"/>
      <c r="AH28" s="182"/>
      <c r="AI28" s="182"/>
      <c r="AJ28" s="182"/>
      <c r="AK28" s="182"/>
      <c r="AL28" s="182"/>
      <c r="AM28" s="182"/>
      <c r="AN28" s="182"/>
      <c r="AO28" s="145"/>
      <c r="AP28" s="97">
        <f ca="1">TblProd[[#This Row],[Platinum]]</f>
        <v>251201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45281.999999999942</v>
      </c>
      <c r="AV28" s="97">
        <f ca="1">TblMili[[#This Row],[Draftees]]</f>
        <v>631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ROUNDUP(IF(OR(race="Gnome", race="High Elf"),1,(1-MIN(TblMili[[#This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ROUNDUP(IF(OR(race="Gnome", race="High Elf"),1,(1-MIN(TblMili[[#This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ROUNDUP(IF(OR(race="Gnome", race="High Elf"),1,(1-MIN(TblMili[[#This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1240</v>
      </c>
      <c r="BP28" s="97">
        <f ca="1">ROUNDUP(IF(OR(race="Gnome", race="High Elf"),1,(1-MIN(TblMili[[#This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5700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29" s="262">
        <f ca="1">TblMili[[#This Row],[Non Draft]]+TblMili[[#This Row],[Draftees]]</f>
        <v>648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0</v>
      </c>
      <c r="W29" s="262">
        <f ca="1">TblMili[[#This Row],[Draft]] * (1 + TblMili[[#This Row],[Mods_Def]])</f>
        <v>648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648</v>
      </c>
      <c r="AB29" s="157"/>
      <c r="AC29" s="183">
        <f ca="1">(TblConstr[[#This Row],[Tot Smi]]+TblConstr[[#This Row],[Dest Smi]])/(TblConstr[[#This Row],[Land]]-TblExplore[[#This Row],[Land Bonus]]*20)</f>
        <v>0</v>
      </c>
      <c r="AD29" s="140"/>
      <c r="AE29" s="261">
        <f>TblMili[[#This Row],[Hour]]</f>
        <v>26</v>
      </c>
      <c r="AF29" s="141">
        <f ca="1">TblExplore[[#This Row],[Time]]</f>
        <v>45282.041666666606</v>
      </c>
      <c r="AG29" s="182"/>
      <c r="AH29" s="182"/>
      <c r="AI29" s="182"/>
      <c r="AJ29" s="182"/>
      <c r="AK29" s="182"/>
      <c r="AL29" s="182"/>
      <c r="AM29" s="182"/>
      <c r="AN29" s="182"/>
      <c r="AO29" s="145"/>
      <c r="AP29" s="97">
        <f ca="1">TblProd[[#This Row],[Platinum]]</f>
        <v>256871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45282.041666666606</v>
      </c>
      <c r="AV29" s="97">
        <f ca="1">TblMili[[#This Row],[Draftees]]</f>
        <v>648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ROUNDUP(IF(OR(race="Gnome", race="High Elf"),1,(1-MIN(TblMili[[#This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ROUNDUP(IF(OR(race="Gnome", race="High Elf"),1,(1-MIN(TblMili[[#This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ROUNDUP(IF(OR(race="Gnome", race="High Elf"),1,(1-MIN(TblMili[[#This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1240</v>
      </c>
      <c r="BP29" s="97">
        <f ca="1">ROUNDUP(IF(OR(race="Gnome", race="High Elf"),1,(1-MIN(TblMili[[#This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5700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0" s="262">
        <f ca="1">TblMili[[#This Row],[Non Draft]]+TblMili[[#This Row],[Draftees]]</f>
        <v>665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0</v>
      </c>
      <c r="W30" s="262">
        <f ca="1">TblMili[[#This Row],[Draft]] * (1 + TblMili[[#This Row],[Mods_Def]])</f>
        <v>665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665</v>
      </c>
      <c r="AB30" s="157"/>
      <c r="AC30" s="183">
        <f ca="1">(TblConstr[[#This Row],[Tot Smi]]+TblConstr[[#This Row],[Dest Smi]])/(TblConstr[[#This Row],[Land]]-TblExplore[[#This Row],[Land Bonus]]*20)</f>
        <v>0</v>
      </c>
      <c r="AD30" s="140"/>
      <c r="AE30" s="261">
        <f>TblMili[[#This Row],[Hour]]</f>
        <v>27</v>
      </c>
      <c r="AF30" s="141">
        <f ca="1">TblExplore[[#This Row],[Time]]</f>
        <v>45282.08333333327</v>
      </c>
      <c r="AG30" s="182"/>
      <c r="AH30" s="182"/>
      <c r="AI30" s="182"/>
      <c r="AJ30" s="182"/>
      <c r="AK30" s="182"/>
      <c r="AL30" s="182"/>
      <c r="AM30" s="182"/>
      <c r="AN30" s="182"/>
      <c r="AO30" s="145"/>
      <c r="AP30" s="97">
        <f ca="1">TblProd[[#This Row],[Platinum]]</f>
        <v>262541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45282.08333333327</v>
      </c>
      <c r="AV30" s="97">
        <f ca="1">TblMili[[#This Row],[Draftees]]</f>
        <v>665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ROUNDUP(IF(OR(race="Gnome", race="High Elf"),1,(1-MIN(TblMili[[#This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ROUNDUP(IF(OR(race="Gnome", race="High Elf"),1,(1-MIN(TblMili[[#This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ROUNDUP(IF(OR(race="Gnome", race="High Elf"),1,(1-MIN(TblMili[[#This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1240</v>
      </c>
      <c r="BP30" s="97">
        <f ca="1">ROUNDUP(IF(OR(race="Gnome", race="High Elf"),1,(1-MIN(TblMili[[#This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5700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1" s="262">
        <f ca="1">TblMili[[#This Row],[Non Draft]]+TblMili[[#This Row],[Draftees]]</f>
        <v>681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0</v>
      </c>
      <c r="W31" s="262">
        <f ca="1">TblMili[[#This Row],[Draft]] * (1 + TblMili[[#This Row],[Mods_Def]])</f>
        <v>681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681</v>
      </c>
      <c r="AB31" s="157"/>
      <c r="AC31" s="183">
        <f ca="1">(TblConstr[[#This Row],[Tot Smi]]+TblConstr[[#This Row],[Dest Smi]])/(TblConstr[[#This Row],[Land]]-TblExplore[[#This Row],[Land Bonus]]*20)</f>
        <v>0</v>
      </c>
      <c r="AD31" s="140"/>
      <c r="AE31" s="261">
        <f>TblMili[[#This Row],[Hour]]</f>
        <v>28</v>
      </c>
      <c r="AF31" s="141">
        <f ca="1">TblExplore[[#This Row],[Time]]</f>
        <v>45282.124999999935</v>
      </c>
      <c r="AG31" s="182"/>
      <c r="AH31" s="182"/>
      <c r="AI31" s="182"/>
      <c r="AJ31" s="182"/>
      <c r="AK31" s="182"/>
      <c r="AL31" s="182"/>
      <c r="AM31" s="182"/>
      <c r="AN31" s="182"/>
      <c r="AO31" s="145"/>
      <c r="AP31" s="97">
        <f ca="1">TblProd[[#This Row],[Platinum]]</f>
        <v>268211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45282.124999999935</v>
      </c>
      <c r="AV31" s="97">
        <f ca="1">TblMili[[#This Row],[Draftees]]</f>
        <v>681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ROUNDUP(IF(OR(race="Gnome", race="High Elf"),1,(1-MIN(TblMili[[#This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ROUNDUP(IF(OR(race="Gnome", race="High Elf"),1,(1-MIN(TblMili[[#This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ROUNDUP(IF(OR(race="Gnome", race="High Elf"),1,(1-MIN(TblMili[[#This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1240</v>
      </c>
      <c r="BP31" s="97">
        <f ca="1">ROUNDUP(IF(OR(race="Gnome", race="High Elf"),1,(1-MIN(TblMili[[#This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5700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2" s="262">
        <f ca="1">TblMili[[#This Row],[Non Draft]]+TblMili[[#This Row],[Draftees]]</f>
        <v>697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0</v>
      </c>
      <c r="W32" s="262">
        <f ca="1">TblMili[[#This Row],[Draft]] * (1 + TblMili[[#This Row],[Mods_Def]])</f>
        <v>697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697</v>
      </c>
      <c r="AB32" s="157"/>
      <c r="AC32" s="183">
        <f ca="1">(TblConstr[[#This Row],[Tot Smi]]+TblConstr[[#This Row],[Dest Smi]])/(TblConstr[[#This Row],[Land]]-TblExplore[[#This Row],[Land Bonus]]*20)</f>
        <v>0</v>
      </c>
      <c r="AD32" s="140"/>
      <c r="AE32" s="261">
        <f>TblMili[[#This Row],[Hour]]</f>
        <v>29</v>
      </c>
      <c r="AF32" s="141">
        <f ca="1">TblExplore[[#This Row],[Time]]</f>
        <v>45282.166666666599</v>
      </c>
      <c r="AG32" s="182"/>
      <c r="AH32" s="182"/>
      <c r="AI32" s="182"/>
      <c r="AJ32" s="182"/>
      <c r="AK32" s="182"/>
      <c r="AL32" s="182"/>
      <c r="AM32" s="182"/>
      <c r="AN32" s="182"/>
      <c r="AO32" s="145"/>
      <c r="AP32" s="97">
        <f ca="1">TblProd[[#This Row],[Platinum]]</f>
        <v>273881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45282.166666666599</v>
      </c>
      <c r="AV32" s="97">
        <f ca="1">TblMili[[#This Row],[Draftees]]</f>
        <v>697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ROUNDUP(IF(OR(race="Gnome", race="High Elf"),1,(1-MIN(TblMili[[#This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ROUNDUP(IF(OR(race="Gnome", race="High Elf"),1,(1-MIN(TblMili[[#This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ROUNDUP(IF(OR(race="Gnome", race="High Elf"),1,(1-MIN(TblMili[[#This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1240</v>
      </c>
      <c r="BP32" s="97">
        <f ca="1">ROUNDUP(IF(OR(race="Gnome", race="High Elf"),1,(1-MIN(TblMili[[#This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5700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3" s="262">
        <f ca="1">TblMili[[#This Row],[Non Draft]]+TblMili[[#This Row],[Draftees]]</f>
        <v>713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0</v>
      </c>
      <c r="W33" s="262">
        <f ca="1">TblMili[[#This Row],[Draft]] * (1 + TblMili[[#This Row],[Mods_Def]])</f>
        <v>713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713</v>
      </c>
      <c r="AB33" s="157"/>
      <c r="AC33" s="183">
        <f ca="1">(TblConstr[[#This Row],[Tot Smi]]+TblConstr[[#This Row],[Dest Smi]])/(TblConstr[[#This Row],[Land]]-TblExplore[[#This Row],[Land Bonus]]*20)</f>
        <v>0</v>
      </c>
      <c r="AD33" s="140"/>
      <c r="AE33" s="261">
        <f>TblMili[[#This Row],[Hour]]</f>
        <v>30</v>
      </c>
      <c r="AF33" s="141">
        <f ca="1">TblExplore[[#This Row],[Time]]</f>
        <v>45282.208333333263</v>
      </c>
      <c r="AG33" s="182"/>
      <c r="AH33" s="182"/>
      <c r="AI33" s="182"/>
      <c r="AJ33" s="182"/>
      <c r="AK33" s="182"/>
      <c r="AL33" s="182"/>
      <c r="AM33" s="182"/>
      <c r="AN33" s="182"/>
      <c r="AO33" s="145"/>
      <c r="AP33" s="97">
        <f ca="1">TblProd[[#This Row],[Platinum]]</f>
        <v>279551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45282.208333333263</v>
      </c>
      <c r="AV33" s="97">
        <f ca="1">TblMili[[#This Row],[Draftees]]</f>
        <v>713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ROUNDUP(IF(OR(race="Gnome", race="High Elf"),1,(1-MIN(TblMili[[#This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ROUNDUP(IF(OR(race="Gnome", race="High Elf"),1,(1-MIN(TblMili[[#This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ROUNDUP(IF(OR(race="Gnome", race="High Elf"),1,(1-MIN(TblMili[[#This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1240</v>
      </c>
      <c r="BP33" s="97">
        <f ca="1">ROUNDUP(IF(OR(race="Gnome", race="High Elf"),1,(1-MIN(TblMili[[#This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5700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4" s="262">
        <f ca="1">TblMili[[#This Row],[Non Draft]]+TblMili[[#This Row],[Draftees]]</f>
        <v>729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0</v>
      </c>
      <c r="W34" s="262">
        <f ca="1">TblMili[[#This Row],[Draft]] * (1 + TblMili[[#This Row],[Mods_Def]])</f>
        <v>729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729</v>
      </c>
      <c r="AB34" s="157"/>
      <c r="AC34" s="183">
        <f ca="1">(TblConstr[[#This Row],[Tot Smi]]+TblConstr[[#This Row],[Dest Smi]])/(TblConstr[[#This Row],[Land]]-TblExplore[[#This Row],[Land Bonus]]*20)</f>
        <v>0</v>
      </c>
      <c r="AD34" s="140"/>
      <c r="AE34" s="261">
        <f>TblMili[[#This Row],[Hour]]</f>
        <v>31</v>
      </c>
      <c r="AF34" s="141">
        <f ca="1">TblExplore[[#This Row],[Time]]</f>
        <v>45282.249999999927</v>
      </c>
      <c r="AG34" s="182"/>
      <c r="AH34" s="182"/>
      <c r="AI34" s="182"/>
      <c r="AJ34" s="182"/>
      <c r="AK34" s="182"/>
      <c r="AL34" s="182"/>
      <c r="AM34" s="182"/>
      <c r="AN34" s="182"/>
      <c r="AO34" s="145"/>
      <c r="AP34" s="97">
        <f ca="1">TblProd[[#This Row],[Platinum]]</f>
        <v>285207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45282.249999999927</v>
      </c>
      <c r="AV34" s="97">
        <f ca="1">TblMili[[#This Row],[Draftees]]</f>
        <v>729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ROUNDUP(IF(OR(race="Gnome", race="High Elf"),1,(1-MIN(TblMili[[#This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ROUNDUP(IF(OR(race="Gnome", race="High Elf"),1,(1-MIN(TblMili[[#This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ROUNDUP(IF(OR(race="Gnome", race="High Elf"),1,(1-MIN(TblMili[[#This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1240</v>
      </c>
      <c r="BP34" s="97">
        <f ca="1">ROUNDUP(IF(OR(race="Gnome", race="High Elf"),1,(1-MIN(TblMili[[#This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5700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5" s="262">
        <f ca="1">TblMili[[#This Row],[Non Draft]]+TblMili[[#This Row],[Draftees]]</f>
        <v>745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0</v>
      </c>
      <c r="W35" s="262">
        <f ca="1">TblMili[[#This Row],[Draft]] * (1 + TblMili[[#This Row],[Mods_Def]])</f>
        <v>745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745</v>
      </c>
      <c r="AB35" s="157"/>
      <c r="AC35" s="183">
        <f ca="1">(TblConstr[[#This Row],[Tot Smi]]+TblConstr[[#This Row],[Dest Smi]])/(TblConstr[[#This Row],[Land]]-TblExplore[[#This Row],[Land Bonus]]*20)</f>
        <v>0</v>
      </c>
      <c r="AD35" s="140"/>
      <c r="AE35" s="261">
        <f>TblMili[[#This Row],[Hour]]</f>
        <v>32</v>
      </c>
      <c r="AF35" s="141">
        <f ca="1">TblExplore[[#This Row],[Time]]</f>
        <v>45282.291666666591</v>
      </c>
      <c r="AG35" s="182"/>
      <c r="AH35" s="182"/>
      <c r="AI35" s="182"/>
      <c r="AJ35" s="182"/>
      <c r="AK35" s="182"/>
      <c r="AL35" s="182"/>
      <c r="AM35" s="182"/>
      <c r="AN35" s="182"/>
      <c r="AO35" s="145"/>
      <c r="AP35" s="97">
        <f ca="1">TblProd[[#This Row],[Platinum]]</f>
        <v>290820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45282.291666666591</v>
      </c>
      <c r="AV35" s="97">
        <f ca="1">TblMili[[#This Row],[Draftees]]</f>
        <v>745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ROUNDUP(IF(OR(race="Gnome", race="High Elf"),1,(1-MIN(TblMili[[#This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ROUNDUP(IF(OR(race="Gnome", race="High Elf"),1,(1-MIN(TblMili[[#This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ROUNDUP(IF(OR(race="Gnome", race="High Elf"),1,(1-MIN(TblMili[[#This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1240</v>
      </c>
      <c r="BP35" s="97">
        <f ca="1">ROUNDUP(IF(OR(race="Gnome", race="High Elf"),1,(1-MIN(TblMili[[#This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5700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6" s="262">
        <f ca="1">TblMili[[#This Row],[Non Draft]]+TblMili[[#This Row],[Draftees]]</f>
        <v>761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0</v>
      </c>
      <c r="W36" s="262">
        <f ca="1">TblMili[[#This Row],[Draft]] * (1 + TblMili[[#This Row],[Mods_Def]])</f>
        <v>761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761</v>
      </c>
      <c r="AB36" s="157"/>
      <c r="AC36" s="183">
        <f ca="1">(TblConstr[[#This Row],[Tot Smi]]+TblConstr[[#This Row],[Dest Smi]])/(TblConstr[[#This Row],[Land]]-TblExplore[[#This Row],[Land Bonus]]*20)</f>
        <v>0</v>
      </c>
      <c r="AD36" s="140"/>
      <c r="AE36" s="261">
        <f>TblMili[[#This Row],[Hour]]</f>
        <v>33</v>
      </c>
      <c r="AF36" s="141">
        <f ca="1">TblExplore[[#This Row],[Time]]</f>
        <v>45282.333333333256</v>
      </c>
      <c r="AG36" s="182"/>
      <c r="AH36" s="182"/>
      <c r="AI36" s="182"/>
      <c r="AJ36" s="182"/>
      <c r="AK36" s="182"/>
      <c r="AL36" s="182"/>
      <c r="AM36" s="182"/>
      <c r="AN36" s="182"/>
      <c r="AO36" s="145"/>
      <c r="AP36" s="97">
        <f ca="1">TblProd[[#This Row],[Platinum]]</f>
        <v>296390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45282.333333333256</v>
      </c>
      <c r="AV36" s="97">
        <f ca="1">TblMili[[#This Row],[Draftees]]</f>
        <v>761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ROUNDUP(IF(OR(race="Gnome", race="High Elf"),1,(1-MIN(TblMili[[#This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ROUNDUP(IF(OR(race="Gnome", race="High Elf"),1,(1-MIN(TblMili[[#This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ROUNDUP(IF(OR(race="Gnome", race="High Elf"),1,(1-MIN(TblMili[[#This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1240</v>
      </c>
      <c r="BP36" s="97">
        <f ca="1">ROUNDUP(IF(OR(race="Gnome", race="High Elf"),1,(1-MIN(TblMili[[#This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5700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7" s="262">
        <f ca="1">TblMili[[#This Row],[Non Draft]]+TblMili[[#This Row],[Draftees]]</f>
        <v>776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0</v>
      </c>
      <c r="W37" s="262">
        <f ca="1">TblMili[[#This Row],[Draft]] * (1 + TblMili[[#This Row],[Mods_Def]])</f>
        <v>776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776</v>
      </c>
      <c r="AB37" s="157"/>
      <c r="AC37" s="183">
        <f ca="1">(TblConstr[[#This Row],[Tot Smi]]+TblConstr[[#This Row],[Dest Smi]])/(TblConstr[[#This Row],[Land]]-TblExplore[[#This Row],[Land Bonus]]*20)</f>
        <v>0</v>
      </c>
      <c r="AD37" s="140"/>
      <c r="AE37" s="261">
        <f>TblMili[[#This Row],[Hour]]</f>
        <v>34</v>
      </c>
      <c r="AF37" s="141">
        <f ca="1">TblExplore[[#This Row],[Time]]</f>
        <v>45282.37499999992</v>
      </c>
      <c r="AG37" s="182"/>
      <c r="AH37" s="182"/>
      <c r="AI37" s="182"/>
      <c r="AJ37" s="182"/>
      <c r="AK37" s="182"/>
      <c r="AL37" s="182"/>
      <c r="AM37" s="182"/>
      <c r="AN37" s="182"/>
      <c r="AO37" s="145"/>
      <c r="AP37" s="97">
        <f ca="1">TblProd[[#This Row],[Platinum]]</f>
        <v>301916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45282.37499999992</v>
      </c>
      <c r="AV37" s="97">
        <f ca="1">TblMili[[#This Row],[Draftees]]</f>
        <v>776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ROUNDUP(IF(OR(race="Gnome", race="High Elf"),1,(1-MIN(TblMili[[#This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ROUNDUP(IF(OR(race="Gnome", race="High Elf"),1,(1-MIN(TblMili[[#This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ROUNDUP(IF(OR(race="Gnome", race="High Elf"),1,(1-MIN(TblMili[[#This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1240</v>
      </c>
      <c r="BP37" s="97">
        <f ca="1">ROUNDUP(IF(OR(race="Gnome", race="High Elf"),1,(1-MIN(TblMili[[#This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5700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8" s="262">
        <f ca="1">TblMili[[#This Row],[Non Draft]]+TblMili[[#This Row],[Draftees]]</f>
        <v>776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0</v>
      </c>
      <c r="W38" s="262">
        <f ca="1">TblMili[[#This Row],[Draft]] * (1 + TblMili[[#This Row],[Mods_Def]])</f>
        <v>776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776</v>
      </c>
      <c r="AB38" s="157"/>
      <c r="AC38" s="183">
        <f ca="1">(TblConstr[[#This Row],[Tot Smi]]+TblConstr[[#This Row],[Dest Smi]])/(TblConstr[[#This Row],[Land]]-TblExplore[[#This Row],[Land Bonus]]*20)</f>
        <v>0</v>
      </c>
      <c r="AD38" s="140"/>
      <c r="AE38" s="261">
        <f>TblMili[[#This Row],[Hour]]</f>
        <v>35</v>
      </c>
      <c r="AF38" s="141">
        <f ca="1">TblExplore[[#This Row],[Time]]</f>
        <v>45282.416666666584</v>
      </c>
      <c r="AG38" s="182"/>
      <c r="AH38" s="182"/>
      <c r="AI38" s="182"/>
      <c r="AJ38" s="182"/>
      <c r="AK38" s="182"/>
      <c r="AL38" s="182"/>
      <c r="AM38" s="182"/>
      <c r="AN38" s="182"/>
      <c r="AO38" s="145"/>
      <c r="AP38" s="97">
        <f ca="1">TblProd[[#This Row],[Platinum]]</f>
        <v>307402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45282.416666666584</v>
      </c>
      <c r="AV38" s="97">
        <f ca="1">TblMili[[#This Row],[Draftees]]</f>
        <v>776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ROUNDUP(IF(OR(race="Gnome", race="High Elf"),1,(1-MIN(TblMili[[#This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ROUNDUP(IF(OR(race="Gnome", race="High Elf"),1,(1-MIN(TblMili[[#This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ROUNDUP(IF(OR(race="Gnome", race="High Elf"),1,(1-MIN(TblMili[[#This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1240</v>
      </c>
      <c r="BP38" s="97">
        <f ca="1">ROUNDUP(IF(OR(race="Gnome", race="High Elf"),1,(1-MIN(TblMili[[#This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5700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39" s="262">
        <f ca="1">TblMili[[#This Row],[Non Draft]]+TblMili[[#This Row],[Draftees]]</f>
        <v>776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0</v>
      </c>
      <c r="W39" s="262">
        <f ca="1">TblMili[[#This Row],[Draft]] * (1 + TblMili[[#This Row],[Mods_Def]])</f>
        <v>776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776</v>
      </c>
      <c r="AB39" s="157"/>
      <c r="AC39" s="183">
        <f ca="1">(TblConstr[[#This Row],[Tot Smi]]+TblConstr[[#This Row],[Dest Smi]])/(TblConstr[[#This Row],[Land]]-TblExplore[[#This Row],[Land Bonus]]*20)</f>
        <v>0</v>
      </c>
      <c r="AD39" s="140"/>
      <c r="AE39" s="261">
        <f>TblMili[[#This Row],[Hour]]</f>
        <v>36</v>
      </c>
      <c r="AF39" s="141">
        <f ca="1">TblExplore[[#This Row],[Time]]</f>
        <v>45282.458333333248</v>
      </c>
      <c r="AG39" s="182"/>
      <c r="AH39" s="182"/>
      <c r="AI39" s="182"/>
      <c r="AJ39" s="182"/>
      <c r="AK39" s="182"/>
      <c r="AL39" s="182"/>
      <c r="AM39" s="182"/>
      <c r="AN39" s="182"/>
      <c r="AO39" s="145"/>
      <c r="AP39" s="97">
        <f ca="1">TblProd[[#This Row],[Platinum]]</f>
        <v>312888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45282.458333333248</v>
      </c>
      <c r="AV39" s="97">
        <f ca="1">TblMili[[#This Row],[Draftees]]</f>
        <v>776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ROUNDUP(IF(OR(race="Gnome", race="High Elf"),1,(1-MIN(TblMili[[#This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ROUNDUP(IF(OR(race="Gnome", race="High Elf"),1,(1-MIN(TblMili[[#This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ROUNDUP(IF(OR(race="Gnome", race="High Elf"),1,(1-MIN(TblMili[[#This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1240</v>
      </c>
      <c r="BP39" s="97">
        <f ca="1">ROUNDUP(IF(OR(race="Gnome", race="High Elf"),1,(1-MIN(TblMili[[#This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5700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0" s="262">
        <f ca="1">TblMili[[#This Row],[Non Draft]]+TblMili[[#This Row],[Draftees]]</f>
        <v>776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0</v>
      </c>
      <c r="W40" s="262">
        <f ca="1">TblMili[[#This Row],[Draft]] * (1 + TblMili[[#This Row],[Mods_Def]])</f>
        <v>776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776</v>
      </c>
      <c r="AB40" s="157"/>
      <c r="AC40" s="183">
        <f ca="1">(TblConstr[[#This Row],[Tot Smi]]+TblConstr[[#This Row],[Dest Smi]])/(TblConstr[[#This Row],[Land]]-TblExplore[[#This Row],[Land Bonus]]*20)</f>
        <v>0</v>
      </c>
      <c r="AD40" s="140"/>
      <c r="AE40" s="261">
        <f>TblMili[[#This Row],[Hour]]</f>
        <v>37</v>
      </c>
      <c r="AF40" s="141">
        <f ca="1">TblExplore[[#This Row],[Time]]</f>
        <v>45282.499999999913</v>
      </c>
      <c r="AG40" s="182"/>
      <c r="AH40" s="182"/>
      <c r="AI40" s="182"/>
      <c r="AJ40" s="182"/>
      <c r="AK40" s="182"/>
      <c r="AL40" s="182"/>
      <c r="AM40" s="182"/>
      <c r="AN40" s="182"/>
      <c r="AO40" s="145"/>
      <c r="AP40" s="97">
        <f ca="1">TblProd[[#This Row],[Platinum]]</f>
        <v>318374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45282.499999999913</v>
      </c>
      <c r="AV40" s="97">
        <f ca="1">TblMili[[#This Row],[Draftees]]</f>
        <v>776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ROUNDUP(IF(OR(race="Gnome", race="High Elf"),1,(1-MIN(TblMili[[#This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ROUNDUP(IF(OR(race="Gnome", race="High Elf"),1,(1-MIN(TblMili[[#This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ROUNDUP(IF(OR(race="Gnome", race="High Elf"),1,(1-MIN(TblMili[[#This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1240</v>
      </c>
      <c r="BP40" s="97">
        <f ca="1">ROUNDUP(IF(OR(race="Gnome", race="High Elf"),1,(1-MIN(TblMili[[#This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5700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1" s="262">
        <f ca="1">TblMili[[#This Row],[Non Draft]]+TblMili[[#This Row],[Draftees]]</f>
        <v>776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0</v>
      </c>
      <c r="W41" s="262">
        <f ca="1">TblMili[[#This Row],[Draft]] * (1 + TblMili[[#This Row],[Mods_Def]])</f>
        <v>776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776</v>
      </c>
      <c r="AB41" s="157"/>
      <c r="AC41" s="183">
        <f ca="1">(TblConstr[[#This Row],[Tot Smi]]+TblConstr[[#This Row],[Dest Smi]])/(TblConstr[[#This Row],[Land]]-TblExplore[[#This Row],[Land Bonus]]*20)</f>
        <v>0</v>
      </c>
      <c r="AD41" s="140"/>
      <c r="AE41" s="261">
        <f>TblMili[[#This Row],[Hour]]</f>
        <v>38</v>
      </c>
      <c r="AF41" s="141">
        <f ca="1">TblExplore[[#This Row],[Time]]</f>
        <v>45282.541666666577</v>
      </c>
      <c r="AG41" s="182"/>
      <c r="AH41" s="182"/>
      <c r="AI41" s="182"/>
      <c r="AJ41" s="182"/>
      <c r="AK41" s="182"/>
      <c r="AL41" s="182"/>
      <c r="AM41" s="182"/>
      <c r="AN41" s="182"/>
      <c r="AO41" s="145"/>
      <c r="AP41" s="97">
        <f ca="1">TblProd[[#This Row],[Platinum]]</f>
        <v>323860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45282.541666666577</v>
      </c>
      <c r="AV41" s="97">
        <f ca="1">TblMili[[#This Row],[Draftees]]</f>
        <v>776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ROUNDUP(IF(OR(race="Gnome", race="High Elf"),1,(1-MIN(TblMili[[#This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ROUNDUP(IF(OR(race="Gnome", race="High Elf"),1,(1-MIN(TblMili[[#This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ROUNDUP(IF(OR(race="Gnome", race="High Elf"),1,(1-MIN(TblMili[[#This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1240</v>
      </c>
      <c r="BP41" s="97">
        <f ca="1">ROUNDUP(IF(OR(race="Gnome", race="High Elf"),1,(1-MIN(TblMili[[#This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5700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2" s="262">
        <f ca="1">TblMili[[#This Row],[Non Draft]]+TblMili[[#This Row],[Draftees]]</f>
        <v>776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0</v>
      </c>
      <c r="W42" s="262">
        <f ca="1">TblMili[[#This Row],[Draft]] * (1 + TblMili[[#This Row],[Mods_Def]])</f>
        <v>776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776</v>
      </c>
      <c r="AB42" s="157"/>
      <c r="AC42" s="183">
        <f ca="1">(TblConstr[[#This Row],[Tot Smi]]+TblConstr[[#This Row],[Dest Smi]])/(TblConstr[[#This Row],[Land]]-TblExplore[[#This Row],[Land Bonus]]*20)</f>
        <v>0</v>
      </c>
      <c r="AD42" s="140"/>
      <c r="AE42" s="261">
        <f>TblMili[[#This Row],[Hour]]</f>
        <v>39</v>
      </c>
      <c r="AF42" s="141">
        <f ca="1">TblExplore[[#This Row],[Time]]</f>
        <v>45282.583333333241</v>
      </c>
      <c r="AG42" s="182"/>
      <c r="AH42" s="182"/>
      <c r="AI42" s="182"/>
      <c r="AJ42" s="182"/>
      <c r="AK42" s="182"/>
      <c r="AL42" s="182"/>
      <c r="AM42" s="182"/>
      <c r="AN42" s="182"/>
      <c r="AO42" s="145"/>
      <c r="AP42" s="97">
        <f ca="1">TblProd[[#This Row],[Platinum]]</f>
        <v>329346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45282.583333333241</v>
      </c>
      <c r="AV42" s="97">
        <f ca="1">TblMili[[#This Row],[Draftees]]</f>
        <v>776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ROUNDUP(IF(OR(race="Gnome", race="High Elf"),1,(1-MIN(TblMili[[#This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ROUNDUP(IF(OR(race="Gnome", race="High Elf"),1,(1-MIN(TblMili[[#This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ROUNDUP(IF(OR(race="Gnome", race="High Elf"),1,(1-MIN(TblMili[[#This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1240</v>
      </c>
      <c r="BP42" s="97">
        <f ca="1">ROUNDUP(IF(OR(race="Gnome", race="High Elf"),1,(1-MIN(TblMili[[#This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5700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3" s="262">
        <f ca="1">TblMili[[#This Row],[Non Draft]]+TblMili[[#This Row],[Draftees]]</f>
        <v>776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0</v>
      </c>
      <c r="W43" s="262">
        <f ca="1">TblMili[[#This Row],[Draft]] * (1 + TblMili[[#This Row],[Mods_Def]])</f>
        <v>776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776</v>
      </c>
      <c r="AB43" s="157"/>
      <c r="AC43" s="183">
        <f ca="1">(TblConstr[[#This Row],[Tot Smi]]+TblConstr[[#This Row],[Dest Smi]])/(TblConstr[[#This Row],[Land]]-TblExplore[[#This Row],[Land Bonus]]*20)</f>
        <v>0</v>
      </c>
      <c r="AD43" s="140"/>
      <c r="AE43" s="261">
        <f>TblMili[[#This Row],[Hour]]</f>
        <v>40</v>
      </c>
      <c r="AF43" s="141">
        <f ca="1">TblExplore[[#This Row],[Time]]</f>
        <v>45282.624999999905</v>
      </c>
      <c r="AG43" s="182"/>
      <c r="AH43" s="182"/>
      <c r="AI43" s="182"/>
      <c r="AJ43" s="182"/>
      <c r="AK43" s="182"/>
      <c r="AL43" s="182"/>
      <c r="AM43" s="182"/>
      <c r="AN43" s="182"/>
      <c r="AO43" s="145"/>
      <c r="AP43" s="97">
        <f ca="1">TblProd[[#This Row],[Platinum]]</f>
        <v>334832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45282.624999999905</v>
      </c>
      <c r="AV43" s="97">
        <f ca="1">TblMili[[#This Row],[Draftees]]</f>
        <v>776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ROUNDUP(IF(OR(race="Gnome", race="High Elf"),1,(1-MIN(TblMili[[#This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ROUNDUP(IF(OR(race="Gnome", race="High Elf"),1,(1-MIN(TblMili[[#This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ROUNDUP(IF(OR(race="Gnome", race="High Elf"),1,(1-MIN(TblMili[[#This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1240</v>
      </c>
      <c r="BP43" s="97">
        <f ca="1">ROUNDUP(IF(OR(race="Gnome", race="High Elf"),1,(1-MIN(TblMili[[#This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5700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4" s="262">
        <f ca="1">TblMili[[#This Row],[Non Draft]]+TblMili[[#This Row],[Draftees]]</f>
        <v>776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0</v>
      </c>
      <c r="W44" s="262">
        <f ca="1">TblMili[[#This Row],[Draft]] * (1 + TblMili[[#This Row],[Mods_Def]])</f>
        <v>776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776</v>
      </c>
      <c r="AB44" s="157"/>
      <c r="AC44" s="183">
        <f ca="1">(TblConstr[[#This Row],[Tot Smi]]+TblConstr[[#This Row],[Dest Smi]])/(TblConstr[[#This Row],[Land]]-TblExplore[[#This Row],[Land Bonus]]*20)</f>
        <v>0</v>
      </c>
      <c r="AD44" s="140"/>
      <c r="AE44" s="261">
        <f>TblMili[[#This Row],[Hour]]</f>
        <v>41</v>
      </c>
      <c r="AF44" s="141">
        <f ca="1">TblExplore[[#This Row],[Time]]</f>
        <v>45282.66666666657</v>
      </c>
      <c r="AG44" s="182"/>
      <c r="AH44" s="182"/>
      <c r="AI44" s="182"/>
      <c r="AJ44" s="182"/>
      <c r="AK44" s="182"/>
      <c r="AL44" s="182"/>
      <c r="AM44" s="182"/>
      <c r="AN44" s="182"/>
      <c r="AO44" s="145"/>
      <c r="AP44" s="97">
        <f ca="1">TblProd[[#This Row],[Platinum]]</f>
        <v>340318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45282.66666666657</v>
      </c>
      <c r="AV44" s="97">
        <f ca="1">TblMili[[#This Row],[Draftees]]</f>
        <v>776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ROUNDUP(IF(OR(race="Gnome", race="High Elf"),1,(1-MIN(TblMili[[#This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ROUNDUP(IF(OR(race="Gnome", race="High Elf"),1,(1-MIN(TblMili[[#This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ROUNDUP(IF(OR(race="Gnome", race="High Elf"),1,(1-MIN(TblMili[[#This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1240</v>
      </c>
      <c r="BP44" s="97">
        <f ca="1">ROUNDUP(IF(OR(race="Gnome", race="High Elf"),1,(1-MIN(TblMili[[#This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5700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5" s="262">
        <f ca="1">TblMili[[#This Row],[Non Draft]]+TblMili[[#This Row],[Draftees]]</f>
        <v>776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0</v>
      </c>
      <c r="W45" s="262">
        <f ca="1">TblMili[[#This Row],[Draft]] * (1 + TblMili[[#This Row],[Mods_Def]])</f>
        <v>776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776</v>
      </c>
      <c r="AB45" s="157"/>
      <c r="AC45" s="183">
        <f ca="1">(TblConstr[[#This Row],[Tot Smi]]+TblConstr[[#This Row],[Dest Smi]])/(TblConstr[[#This Row],[Land]]-TblExplore[[#This Row],[Land Bonus]]*20)</f>
        <v>0</v>
      </c>
      <c r="AD45" s="140"/>
      <c r="AE45" s="261">
        <f>TblMili[[#This Row],[Hour]]</f>
        <v>42</v>
      </c>
      <c r="AF45" s="141">
        <f ca="1">TblExplore[[#This Row],[Time]]</f>
        <v>45282.708333333234</v>
      </c>
      <c r="AG45" s="182"/>
      <c r="AH45" s="182"/>
      <c r="AI45" s="182"/>
      <c r="AJ45" s="182"/>
      <c r="AK45" s="182"/>
      <c r="AL45" s="182"/>
      <c r="AM45" s="182"/>
      <c r="AN45" s="182"/>
      <c r="AO45" s="145"/>
      <c r="AP45" s="97">
        <f ca="1">TblProd[[#This Row],[Platinum]]</f>
        <v>345804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45282.708333333234</v>
      </c>
      <c r="AV45" s="97">
        <f ca="1">TblMili[[#This Row],[Draftees]]</f>
        <v>776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ROUNDUP(IF(OR(race="Gnome", race="High Elf"),1,(1-MIN(TblMili[[#This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ROUNDUP(IF(OR(race="Gnome", race="High Elf"),1,(1-MIN(TblMili[[#This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ROUNDUP(IF(OR(race="Gnome", race="High Elf"),1,(1-MIN(TblMili[[#This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1240</v>
      </c>
      <c r="BP45" s="97">
        <f ca="1">ROUNDUP(IF(OR(race="Gnome", race="High Elf"),1,(1-MIN(TblMili[[#This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5700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6" s="262">
        <f ca="1">TblMili[[#This Row],[Non Draft]]+TblMili[[#This Row],[Draftees]]</f>
        <v>776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0</v>
      </c>
      <c r="W46" s="262">
        <f ca="1">TblMili[[#This Row],[Draft]] * (1 + TblMili[[#This Row],[Mods_Def]])</f>
        <v>776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776</v>
      </c>
      <c r="AB46" s="157"/>
      <c r="AC46" s="183">
        <f ca="1">(TblConstr[[#This Row],[Tot Smi]]+TblConstr[[#This Row],[Dest Smi]])/(TblConstr[[#This Row],[Land]]-TblExplore[[#This Row],[Land Bonus]]*20)</f>
        <v>0</v>
      </c>
      <c r="AD46" s="140"/>
      <c r="AE46" s="261">
        <f>TblMili[[#This Row],[Hour]]</f>
        <v>43</v>
      </c>
      <c r="AF46" s="141">
        <f ca="1">TblExplore[[#This Row],[Time]]</f>
        <v>45282.749999999898</v>
      </c>
      <c r="AG46" s="182"/>
      <c r="AH46" s="182"/>
      <c r="AI46" s="182"/>
      <c r="AJ46" s="182"/>
      <c r="AK46" s="182"/>
      <c r="AL46" s="182"/>
      <c r="AM46" s="182"/>
      <c r="AN46" s="182"/>
      <c r="AO46" s="145"/>
      <c r="AP46" s="97">
        <f ca="1">TblProd[[#This Row],[Platinum]]</f>
        <v>351290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45282.749999999898</v>
      </c>
      <c r="AV46" s="97">
        <f ca="1">TblMili[[#This Row],[Draftees]]</f>
        <v>776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ROUNDUP(IF(OR(race="Gnome", race="High Elf"),1,(1-MIN(TblMili[[#This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ROUNDUP(IF(OR(race="Gnome", race="High Elf"),1,(1-MIN(TblMili[[#This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ROUNDUP(IF(OR(race="Gnome", race="High Elf"),1,(1-MIN(TblMili[[#This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1240</v>
      </c>
      <c r="BP46" s="97">
        <f ca="1">ROUNDUP(IF(OR(race="Gnome", race="High Elf"),1,(1-MIN(TblMili[[#This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5700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7" s="262">
        <f ca="1">TblMili[[#This Row],[Non Draft]]+TblMili[[#This Row],[Draftees]]</f>
        <v>776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0</v>
      </c>
      <c r="W47" s="262">
        <f ca="1">TblMili[[#This Row],[Draft]] * (1 + TblMili[[#This Row],[Mods_Def]])</f>
        <v>776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776</v>
      </c>
      <c r="AB47" s="157"/>
      <c r="AC47" s="183">
        <f ca="1">(TblConstr[[#This Row],[Tot Smi]]+TblConstr[[#This Row],[Dest Smi]])/(TblConstr[[#This Row],[Land]]-TblExplore[[#This Row],[Land Bonus]]*20)</f>
        <v>0</v>
      </c>
      <c r="AD47" s="140"/>
      <c r="AE47" s="261">
        <f>TblMili[[#This Row],[Hour]]</f>
        <v>44</v>
      </c>
      <c r="AF47" s="141">
        <f ca="1">TblExplore[[#This Row],[Time]]</f>
        <v>45282.791666666562</v>
      </c>
      <c r="AG47" s="182"/>
      <c r="AH47" s="182"/>
      <c r="AI47" s="182"/>
      <c r="AJ47" s="182"/>
      <c r="AK47" s="182"/>
      <c r="AL47" s="182"/>
      <c r="AM47" s="182"/>
      <c r="AN47" s="182"/>
      <c r="AO47" s="145"/>
      <c r="AP47" s="97">
        <f ca="1">TblProd[[#This Row],[Platinum]]</f>
        <v>356776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45282.791666666562</v>
      </c>
      <c r="AV47" s="97">
        <f ca="1">TblMili[[#This Row],[Draftees]]</f>
        <v>776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ROUNDUP(IF(OR(race="Gnome", race="High Elf"),1,(1-MIN(TblMili[[#This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ROUNDUP(IF(OR(race="Gnome", race="High Elf"),1,(1-MIN(TblMili[[#This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ROUNDUP(IF(OR(race="Gnome", race="High Elf"),1,(1-MIN(TblMili[[#This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1240</v>
      </c>
      <c r="BP47" s="97">
        <f ca="1">ROUNDUP(IF(OR(race="Gnome", race="High Elf"),1,(1-MIN(TblMili[[#This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5700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8" s="262">
        <f ca="1">TblMili[[#This Row],[Non Draft]]+TblMili[[#This Row],[Draftees]]</f>
        <v>776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0</v>
      </c>
      <c r="W48" s="262">
        <f ca="1">TblMili[[#This Row],[Draft]] * (1 + TblMili[[#This Row],[Mods_Def]])</f>
        <v>776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776</v>
      </c>
      <c r="AB48" s="157"/>
      <c r="AC48" s="183">
        <f ca="1">(TblConstr[[#This Row],[Tot Smi]]+TblConstr[[#This Row],[Dest Smi]])/(TblConstr[[#This Row],[Land]]-TblExplore[[#This Row],[Land Bonus]]*20)</f>
        <v>0</v>
      </c>
      <c r="AD48" s="140"/>
      <c r="AE48" s="261">
        <f>TblMili[[#This Row],[Hour]]</f>
        <v>45</v>
      </c>
      <c r="AF48" s="141">
        <f ca="1">TblExplore[[#This Row],[Time]]</f>
        <v>45282.833333333227</v>
      </c>
      <c r="AG48" s="182"/>
      <c r="AH48" s="182"/>
      <c r="AI48" s="182"/>
      <c r="AJ48" s="182"/>
      <c r="AK48" s="182"/>
      <c r="AL48" s="182"/>
      <c r="AM48" s="182"/>
      <c r="AN48" s="182"/>
      <c r="AO48" s="145"/>
      <c r="AP48" s="97">
        <f ca="1">TblProd[[#This Row],[Platinum]]</f>
        <v>362262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45282.833333333227</v>
      </c>
      <c r="AV48" s="97">
        <f ca="1">TblMili[[#This Row],[Draftees]]</f>
        <v>776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ROUNDUP(IF(OR(race="Gnome", race="High Elf"),1,(1-MIN(TblMili[[#This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ROUNDUP(IF(OR(race="Gnome", race="High Elf"),1,(1-MIN(TblMili[[#This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ROUNDUP(IF(OR(race="Gnome", race="High Elf"),1,(1-MIN(TblMili[[#This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1240</v>
      </c>
      <c r="BP48" s="97">
        <f ca="1">ROUNDUP(IF(OR(race="Gnome", race="High Elf"),1,(1-MIN(TblMili[[#This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5700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49" s="262">
        <f ca="1">TblMili[[#This Row],[Non Draft]]+TblMili[[#This Row],[Draftees]]</f>
        <v>776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0</v>
      </c>
      <c r="W49" s="262">
        <f ca="1">TblMili[[#This Row],[Draft]] * (1 + TblMili[[#This Row],[Mods_Def]])</f>
        <v>776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776</v>
      </c>
      <c r="AB49" s="157"/>
      <c r="AC49" s="183">
        <f ca="1">(TblConstr[[#This Row],[Tot Smi]]+TblConstr[[#This Row],[Dest Smi]])/(TblConstr[[#This Row],[Land]]-TblExplore[[#This Row],[Land Bonus]]*20)</f>
        <v>0</v>
      </c>
      <c r="AD49" s="140"/>
      <c r="AE49" s="261">
        <f>TblMili[[#This Row],[Hour]]</f>
        <v>46</v>
      </c>
      <c r="AF49" s="141">
        <f ca="1">TblExplore[[#This Row],[Time]]</f>
        <v>45282.874999999891</v>
      </c>
      <c r="AG49" s="182"/>
      <c r="AH49" s="182"/>
      <c r="AI49" s="182"/>
      <c r="AJ49" s="182"/>
      <c r="AK49" s="182"/>
      <c r="AL49" s="182"/>
      <c r="AM49" s="182"/>
      <c r="AN49" s="182"/>
      <c r="AO49" s="145"/>
      <c r="AP49" s="97">
        <f ca="1">TblProd[[#This Row],[Platinum]]</f>
        <v>367748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45282.874999999891</v>
      </c>
      <c r="AV49" s="97">
        <f ca="1">TblMili[[#This Row],[Draftees]]</f>
        <v>776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ROUNDUP(IF(OR(race="Gnome", race="High Elf"),1,(1-MIN(TblMili[[#This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ROUNDUP(IF(OR(race="Gnome", race="High Elf"),1,(1-MIN(TblMili[[#This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ROUNDUP(IF(OR(race="Gnome", race="High Elf"),1,(1-MIN(TblMili[[#This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1240</v>
      </c>
      <c r="BP49" s="97">
        <f ca="1">ROUNDUP(IF(OR(race="Gnome", race="High Elf"),1,(1-MIN(TblMili[[#This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5700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0" s="262">
        <f ca="1">TblMili[[#This Row],[Non Draft]]+TblMili[[#This Row],[Draftees]]</f>
        <v>776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0</v>
      </c>
      <c r="W50" s="262">
        <f ca="1">TblMili[[#This Row],[Draft]] * (1 + TblMili[[#This Row],[Mods_Def]])</f>
        <v>776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776</v>
      </c>
      <c r="AB50" s="157"/>
      <c r="AC50" s="183">
        <f ca="1">(TblConstr[[#This Row],[Tot Smi]]+TblConstr[[#This Row],[Dest Smi]])/(TblConstr[[#This Row],[Land]]-TblExplore[[#This Row],[Land Bonus]]*20)</f>
        <v>0</v>
      </c>
      <c r="AD50" s="140"/>
      <c r="AE50" s="261">
        <f>TblMili[[#This Row],[Hour]]</f>
        <v>47</v>
      </c>
      <c r="AF50" s="141">
        <f ca="1">TblExplore[[#This Row],[Time]]</f>
        <v>45282.916666666555</v>
      </c>
      <c r="AG50" s="182"/>
      <c r="AH50" s="182"/>
      <c r="AI50" s="182"/>
      <c r="AJ50" s="182"/>
      <c r="AK50" s="182"/>
      <c r="AL50" s="182"/>
      <c r="AM50" s="182"/>
      <c r="AN50" s="182"/>
      <c r="AO50" s="145"/>
      <c r="AP50" s="97">
        <f ca="1">TblProd[[#This Row],[Platinum]]</f>
        <v>373234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45282.916666666555</v>
      </c>
      <c r="AV50" s="97">
        <f ca="1">TblMili[[#This Row],[Draftees]]</f>
        <v>776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ROUNDUP(IF(OR(race="Gnome", race="High Elf"),1,(1-MIN(TblMili[[#This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ROUNDUP(IF(OR(race="Gnome", race="High Elf"),1,(1-MIN(TblMili[[#This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ROUNDUP(IF(OR(race="Gnome", race="High Elf"),1,(1-MIN(TblMili[[#This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1240</v>
      </c>
      <c r="BP50" s="97">
        <f ca="1">ROUNDUP(IF(OR(race="Gnome", race="High Elf"),1,(1-MIN(TblMili[[#This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5700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1" s="262">
        <f ca="1">TblMili[[#This Row],[Non Draft]]+TblMili[[#This Row],[Draftees]]</f>
        <v>776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0</v>
      </c>
      <c r="W51" s="262">
        <f ca="1">TblMili[[#This Row],[Draft]] * (1 + TblMili[[#This Row],[Mods_Def]])</f>
        <v>776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776</v>
      </c>
      <c r="AB51" s="157"/>
      <c r="AC51" s="183">
        <f ca="1">(TblConstr[[#This Row],[Tot Smi]]+TblConstr[[#This Row],[Dest Smi]])/(TblConstr[[#This Row],[Land]]-TblExplore[[#This Row],[Land Bonus]]*20)</f>
        <v>0</v>
      </c>
      <c r="AD51" s="140"/>
      <c r="AE51" s="261">
        <f>TblMili[[#This Row],[Hour]]</f>
        <v>48</v>
      </c>
      <c r="AF51" s="141">
        <f ca="1">TblExplore[[#This Row],[Time]]</f>
        <v>45282.958333333219</v>
      </c>
      <c r="AG51" s="182"/>
      <c r="AH51" s="182"/>
      <c r="AI51" s="182"/>
      <c r="AJ51" s="182"/>
      <c r="AK51" s="182"/>
      <c r="AL51" s="182"/>
      <c r="AM51" s="182"/>
      <c r="AN51" s="182"/>
      <c r="AO51" s="145"/>
      <c r="AP51" s="97">
        <f ca="1">TblProd[[#This Row],[Platinum]]</f>
        <v>378720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45282.958333333219</v>
      </c>
      <c r="AV51" s="97">
        <f ca="1">TblMili[[#This Row],[Draftees]]</f>
        <v>776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ROUNDUP(IF(OR(race="Gnome", race="High Elf"),1,(1-MIN(TblMili[[#This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ROUNDUP(IF(OR(race="Gnome", race="High Elf"),1,(1-MIN(TblMili[[#This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ROUNDUP(IF(OR(race="Gnome", race="High Elf"),1,(1-MIN(TblMili[[#This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1240</v>
      </c>
      <c r="BP51" s="97">
        <f ca="1">ROUNDUP(IF(OR(race="Gnome", race="High Elf"),1,(1-MIN(TblMili[[#This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5700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2" s="262">
        <f ca="1">TblMili[[#This Row],[Non Draft]]+TblMili[[#This Row],[Draftees]]</f>
        <v>776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0</v>
      </c>
      <c r="W52" s="262">
        <f ca="1">TblMili[[#This Row],[Draft]] * (1 + TblMili[[#This Row],[Mods_Def]])</f>
        <v>776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776</v>
      </c>
      <c r="AB52" s="157"/>
      <c r="AC52" s="183">
        <f ca="1">(TblConstr[[#This Row],[Tot Smi]]+TblConstr[[#This Row],[Dest Smi]])/(TblConstr[[#This Row],[Land]]-TblExplore[[#This Row],[Land Bonus]]*20)</f>
        <v>0</v>
      </c>
      <c r="AD52" s="271"/>
      <c r="AE52" s="272">
        <f>TblMili[[#This Row],[Hour]]</f>
        <v>49</v>
      </c>
      <c r="AF52" s="141">
        <f ca="1">TblExplore[[#This Row],[Time]]</f>
        <v>45282.999999999884</v>
      </c>
      <c r="AG52" s="182"/>
      <c r="AH52" s="182"/>
      <c r="AI52" s="182"/>
      <c r="AJ52" s="182"/>
      <c r="AK52" s="182"/>
      <c r="AL52" s="182"/>
      <c r="AM52" s="182"/>
      <c r="AN52" s="182"/>
      <c r="AO52" s="145"/>
      <c r="AP52" s="97">
        <f ca="1">TblProd[[#This Row],[Platinum]]</f>
        <v>384206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45282.999999999884</v>
      </c>
      <c r="AV52" s="97">
        <f ca="1">TblMili[[#This Row],[Draftees]]</f>
        <v>776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ROUNDUP(IF(OR(race="Gnome", race="High Elf"),1,(1-MIN(TblMili[[#This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ROUNDUP(IF(OR(race="Gnome", race="High Elf"),1,(1-MIN(TblMili[[#This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ROUNDUP(IF(OR(race="Gnome", race="High Elf"),1,(1-MIN(TblMili[[#This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1240</v>
      </c>
      <c r="BP52" s="97">
        <f ca="1">ROUNDUP(IF(OR(race="Gnome", race="High Elf"),1,(1-MIN(TblMili[[#This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5700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3" s="262">
        <f ca="1">TblMili[[#This Row],[Non Draft]]+TblMili[[#This Row],[Draftees]]</f>
        <v>776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0</v>
      </c>
      <c r="W53" s="262">
        <f ca="1">TblMili[[#This Row],[Draft]] * (1 + TblMili[[#This Row],[Mods_Def]])</f>
        <v>776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776</v>
      </c>
      <c r="AB53" s="157"/>
      <c r="AC53" s="183">
        <f ca="1">(TblConstr[[#This Row],[Tot Smi]]+TblConstr[[#This Row],[Dest Smi]])/(TblConstr[[#This Row],[Land]]-TblExplore[[#This Row],[Land Bonus]]*20)</f>
        <v>0</v>
      </c>
      <c r="AD53" s="140"/>
      <c r="AE53" s="261">
        <f>TblMili[[#This Row],[Hour]]</f>
        <v>50</v>
      </c>
      <c r="AF53" s="141">
        <f ca="1">TblExplore[[#This Row],[Time]]</f>
        <v>45283.041666666548</v>
      </c>
      <c r="AG53" s="161"/>
      <c r="AH53" s="182"/>
      <c r="AI53" s="161"/>
      <c r="AJ53" s="182"/>
      <c r="AK53" s="182"/>
      <c r="AL53" s="182"/>
      <c r="AM53" s="182"/>
      <c r="AN53" s="182"/>
      <c r="AO53" s="145"/>
      <c r="AP53" s="97">
        <f ca="1">TblProd[[#This Row],[Platinum]]</f>
        <v>389692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45283.041666666548</v>
      </c>
      <c r="AV53" s="97">
        <f ca="1">TblMili[[#This Row],[Draftees]]</f>
        <v>776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ROUNDUP(IF(OR(race="Gnome", race="High Elf"),1,(1-MIN(TblMili[[#This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ROUNDUP(IF(OR(race="Gnome", race="High Elf"),1,(1-MIN(TblMili[[#This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ROUNDUP(IF(OR(race="Gnome", race="High Elf"),1,(1-MIN(TblMili[[#This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1240</v>
      </c>
      <c r="BP53" s="97">
        <f ca="1">ROUNDUP(IF(OR(race="Gnome", race="High Elf"),1,(1-MIN(TblMili[[#This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5700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4" s="262">
        <f ca="1">TblMili[[#This Row],[Non Draft]]+TblMili[[#This Row],[Draftees]]</f>
        <v>776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0</v>
      </c>
      <c r="W54" s="262">
        <f ca="1">TblMili[[#This Row],[Draft]] * (1 + TblMili[[#This Row],[Mods_Def]])</f>
        <v>776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776</v>
      </c>
      <c r="AB54" s="157"/>
      <c r="AC54" s="183">
        <f ca="1">(TblConstr[[#This Row],[Tot Smi]]+TblConstr[[#This Row],[Dest Smi]])/(TblConstr[[#This Row],[Land]]-TblExplore[[#This Row],[Land Bonus]]*20)</f>
        <v>0</v>
      </c>
      <c r="AD54" s="140"/>
      <c r="AE54" s="261">
        <f>TblMili[[#This Row],[Hour]]</f>
        <v>51</v>
      </c>
      <c r="AF54" s="141">
        <f ca="1">TblExplore[[#This Row],[Time]]</f>
        <v>45283.083333333212</v>
      </c>
      <c r="AG54" s="182"/>
      <c r="AH54" s="182"/>
      <c r="AI54" s="182"/>
      <c r="AJ54" s="182"/>
      <c r="AK54" s="182"/>
      <c r="AL54" s="182"/>
      <c r="AM54" s="182"/>
      <c r="AN54" s="182"/>
      <c r="AO54" s="145"/>
      <c r="AP54" s="97">
        <f ca="1">TblProd[[#This Row],[Platinum]]</f>
        <v>395178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45283.083333333212</v>
      </c>
      <c r="AV54" s="97">
        <f ca="1">TblMili[[#This Row],[Draftees]]</f>
        <v>776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ROUNDUP(IF(OR(race="Gnome", race="High Elf"),1,(1-MIN(TblMili[[#This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ROUNDUP(IF(OR(race="Gnome", race="High Elf"),1,(1-MIN(TblMili[[#This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ROUNDUP(IF(OR(race="Gnome", race="High Elf"),1,(1-MIN(TblMili[[#This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1240</v>
      </c>
      <c r="BP54" s="97">
        <f ca="1">ROUNDUP(IF(OR(race="Gnome", race="High Elf"),1,(1-MIN(TblMili[[#This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5700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5" s="262">
        <f ca="1">TblMili[[#This Row],[Non Draft]]+TblMili[[#This Row],[Draftees]]</f>
        <v>776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0</v>
      </c>
      <c r="W55" s="262">
        <f ca="1">TblMili[[#This Row],[Draft]] * (1 + TblMili[[#This Row],[Mods_Def]])</f>
        <v>776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776</v>
      </c>
      <c r="AB55" s="157"/>
      <c r="AC55" s="183">
        <f ca="1">(TblConstr[[#This Row],[Tot Smi]]+TblConstr[[#This Row],[Dest Smi]])/(TblConstr[[#This Row],[Land]]-TblExplore[[#This Row],[Land Bonus]]*20)</f>
        <v>0</v>
      </c>
      <c r="AD55" s="140"/>
      <c r="AE55" s="261">
        <f>TblMili[[#This Row],[Hour]]</f>
        <v>52</v>
      </c>
      <c r="AF55" s="141">
        <f ca="1">TblExplore[[#This Row],[Time]]</f>
        <v>45283.124999999876</v>
      </c>
      <c r="AG55" s="182"/>
      <c r="AH55" s="182"/>
      <c r="AI55" s="182"/>
      <c r="AJ55" s="182"/>
      <c r="AK55" s="182"/>
      <c r="AL55" s="182"/>
      <c r="AM55" s="182"/>
      <c r="AN55" s="182"/>
      <c r="AO55" s="145"/>
      <c r="AP55" s="97">
        <f ca="1">TblProd[[#This Row],[Platinum]]</f>
        <v>400664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45283.124999999876</v>
      </c>
      <c r="AV55" s="97">
        <f ca="1">TblMili[[#This Row],[Draftees]]</f>
        <v>776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ROUNDUP(IF(OR(race="Gnome", race="High Elf"),1,(1-MIN(TblMili[[#This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ROUNDUP(IF(OR(race="Gnome", race="High Elf"),1,(1-MIN(TblMili[[#This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ROUNDUP(IF(OR(race="Gnome", race="High Elf"),1,(1-MIN(TblMili[[#This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1240</v>
      </c>
      <c r="BP55" s="97">
        <f ca="1">ROUNDUP(IF(OR(race="Gnome", race="High Elf"),1,(1-MIN(TblMili[[#This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5700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6" s="262">
        <f ca="1">TblMili[[#This Row],[Non Draft]]+TblMili[[#This Row],[Draftees]]</f>
        <v>776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0</v>
      </c>
      <c r="W56" s="262">
        <f ca="1">TblMili[[#This Row],[Draft]] * (1 + TblMili[[#This Row],[Mods_Def]])</f>
        <v>776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776</v>
      </c>
      <c r="AB56" s="157"/>
      <c r="AC56" s="183">
        <f ca="1">(TblConstr[[#This Row],[Tot Smi]]+TblConstr[[#This Row],[Dest Smi]])/(TblConstr[[#This Row],[Land]]-TblExplore[[#This Row],[Land Bonus]]*20)</f>
        <v>0</v>
      </c>
      <c r="AD56" s="140"/>
      <c r="AE56" s="261">
        <f>TblMili[[#This Row],[Hour]]</f>
        <v>53</v>
      </c>
      <c r="AF56" s="141">
        <f ca="1">TblExplore[[#This Row],[Time]]</f>
        <v>45283.166666666541</v>
      </c>
      <c r="AG56" s="182"/>
      <c r="AH56" s="182"/>
      <c r="AI56" s="182"/>
      <c r="AJ56" s="182"/>
      <c r="AK56" s="182"/>
      <c r="AL56" s="182"/>
      <c r="AM56" s="182"/>
      <c r="AN56" s="182"/>
      <c r="AO56" s="145"/>
      <c r="AP56" s="97">
        <f ca="1">TblProd[[#This Row],[Platinum]]</f>
        <v>406150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45283.166666666541</v>
      </c>
      <c r="AV56" s="97">
        <f ca="1">TblMili[[#This Row],[Draftees]]</f>
        <v>776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ROUNDUP(IF(OR(race="Gnome", race="High Elf"),1,(1-MIN(TblMili[[#This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ROUNDUP(IF(OR(race="Gnome", race="High Elf"),1,(1-MIN(TblMili[[#This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ROUNDUP(IF(OR(race="Gnome", race="High Elf"),1,(1-MIN(TblMili[[#This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1240</v>
      </c>
      <c r="BP56" s="97">
        <f ca="1">ROUNDUP(IF(OR(race="Gnome", race="High Elf"),1,(1-MIN(TblMili[[#This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5700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7" s="262">
        <f ca="1">TblMili[[#This Row],[Non Draft]]+TblMili[[#This Row],[Draftees]]</f>
        <v>776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0</v>
      </c>
      <c r="W57" s="262">
        <f ca="1">TblMili[[#This Row],[Draft]] * (1 + TblMili[[#This Row],[Mods_Def]])</f>
        <v>776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776</v>
      </c>
      <c r="AB57" s="157"/>
      <c r="AC57" s="183">
        <f ca="1">(TblConstr[[#This Row],[Tot Smi]]+TblConstr[[#This Row],[Dest Smi]])/(TblConstr[[#This Row],[Land]]-TblExplore[[#This Row],[Land Bonus]]*20)</f>
        <v>0</v>
      </c>
      <c r="AD57" s="140"/>
      <c r="AE57" s="261">
        <f>TblMili[[#This Row],[Hour]]</f>
        <v>54</v>
      </c>
      <c r="AF57" s="141">
        <f ca="1">TblExplore[[#This Row],[Time]]</f>
        <v>45283.208333333205</v>
      </c>
      <c r="AG57" s="182"/>
      <c r="AH57" s="182"/>
      <c r="AI57" s="182"/>
      <c r="AJ57" s="182"/>
      <c r="AK57" s="182"/>
      <c r="AL57" s="182"/>
      <c r="AM57" s="182"/>
      <c r="AN57" s="182"/>
      <c r="AO57" s="145"/>
      <c r="AP57" s="97">
        <f ca="1">TblProd[[#This Row],[Platinum]]</f>
        <v>411636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45283.208333333205</v>
      </c>
      <c r="AV57" s="97">
        <f ca="1">TblMili[[#This Row],[Draftees]]</f>
        <v>776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ROUNDUP(IF(OR(race="Gnome", race="High Elf"),1,(1-MIN(TblMili[[#This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ROUNDUP(IF(OR(race="Gnome", race="High Elf"),1,(1-MIN(TblMili[[#This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ROUNDUP(IF(OR(race="Gnome", race="High Elf"),1,(1-MIN(TblMili[[#This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1240</v>
      </c>
      <c r="BP57" s="97">
        <f ca="1">ROUNDUP(IF(OR(race="Gnome", race="High Elf"),1,(1-MIN(TblMili[[#This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5700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8" s="262">
        <f ca="1">TblMili[[#This Row],[Non Draft]]+TblMili[[#This Row],[Draftees]]</f>
        <v>776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0</v>
      </c>
      <c r="W58" s="262">
        <f ca="1">TblMili[[#This Row],[Draft]] * (1 + TblMili[[#This Row],[Mods_Def]])</f>
        <v>776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776</v>
      </c>
      <c r="AB58" s="157"/>
      <c r="AC58" s="183">
        <f ca="1">(TblConstr[[#This Row],[Tot Smi]]+TblConstr[[#This Row],[Dest Smi]])/(TblConstr[[#This Row],[Land]]-TblExplore[[#This Row],[Land Bonus]]*20)</f>
        <v>0</v>
      </c>
      <c r="AD58" s="140"/>
      <c r="AE58" s="261">
        <f>TblMili[[#This Row],[Hour]]</f>
        <v>55</v>
      </c>
      <c r="AF58" s="141">
        <f ca="1">TblExplore[[#This Row],[Time]]</f>
        <v>45283.249999999869</v>
      </c>
      <c r="AG58" s="182"/>
      <c r="AH58" s="182"/>
      <c r="AI58" s="182"/>
      <c r="AJ58" s="182"/>
      <c r="AK58" s="182"/>
      <c r="AL58" s="182"/>
      <c r="AM58" s="182"/>
      <c r="AN58" s="182"/>
      <c r="AO58" s="145"/>
      <c r="AP58" s="97">
        <f ca="1">TblProd[[#This Row],[Platinum]]</f>
        <v>417122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45283.249999999869</v>
      </c>
      <c r="AV58" s="97">
        <f ca="1">TblMili[[#This Row],[Draftees]]</f>
        <v>776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ROUNDUP(IF(OR(race="Gnome", race="High Elf"),1,(1-MIN(TblMili[[#This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ROUNDUP(IF(OR(race="Gnome", race="High Elf"),1,(1-MIN(TblMili[[#This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ROUNDUP(IF(OR(race="Gnome", race="High Elf"),1,(1-MIN(TblMili[[#This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1240</v>
      </c>
      <c r="BP58" s="97">
        <f ca="1">ROUNDUP(IF(OR(race="Gnome", race="High Elf"),1,(1-MIN(TblMili[[#This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5700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59" s="262">
        <f ca="1">TblMili[[#This Row],[Non Draft]]+TblMili[[#This Row],[Draftees]]</f>
        <v>776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0</v>
      </c>
      <c r="W59" s="262">
        <f ca="1">TblMili[[#This Row],[Draft]] * (1 + TblMili[[#This Row],[Mods_Def]])</f>
        <v>776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776</v>
      </c>
      <c r="AB59" s="157"/>
      <c r="AC59" s="183">
        <f ca="1">(TblConstr[[#This Row],[Tot Smi]]+TblConstr[[#This Row],[Dest Smi]])/(TblConstr[[#This Row],[Land]]-TblExplore[[#This Row],[Land Bonus]]*20)</f>
        <v>0</v>
      </c>
      <c r="AD59" s="140"/>
      <c r="AE59" s="261">
        <f>TblMili[[#This Row],[Hour]]</f>
        <v>56</v>
      </c>
      <c r="AF59" s="141">
        <f ca="1">TblExplore[[#This Row],[Time]]</f>
        <v>45283.291666666533</v>
      </c>
      <c r="AG59" s="182"/>
      <c r="AH59" s="182"/>
      <c r="AI59" s="182"/>
      <c r="AJ59" s="182"/>
      <c r="AK59" s="182"/>
      <c r="AL59" s="182"/>
      <c r="AM59" s="182"/>
      <c r="AN59" s="182"/>
      <c r="AO59" s="145"/>
      <c r="AP59" s="97">
        <f ca="1">TblProd[[#This Row],[Platinum]]</f>
        <v>422608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45283.291666666533</v>
      </c>
      <c r="AV59" s="97">
        <f ca="1">TblMili[[#This Row],[Draftees]]</f>
        <v>776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ROUNDUP(IF(OR(race="Gnome", race="High Elf"),1,(1-MIN(TblMili[[#This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ROUNDUP(IF(OR(race="Gnome", race="High Elf"),1,(1-MIN(TblMili[[#This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ROUNDUP(IF(OR(race="Gnome", race="High Elf"),1,(1-MIN(TblMili[[#This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1240</v>
      </c>
      <c r="BP59" s="97">
        <f ca="1">ROUNDUP(IF(OR(race="Gnome", race="High Elf"),1,(1-MIN(TblMili[[#This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5700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0" s="262">
        <f ca="1">TblMili[[#This Row],[Non Draft]]+TblMili[[#This Row],[Draftees]]</f>
        <v>776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0</v>
      </c>
      <c r="W60" s="262">
        <f ca="1">TblMili[[#This Row],[Draft]] * (1 + TblMili[[#This Row],[Mods_Def]])</f>
        <v>776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776</v>
      </c>
      <c r="AB60" s="157"/>
      <c r="AC60" s="183">
        <f ca="1">(TblConstr[[#This Row],[Tot Smi]]+TblConstr[[#This Row],[Dest Smi]])/(TblConstr[[#This Row],[Land]]-TblExplore[[#This Row],[Land Bonus]]*20)</f>
        <v>0</v>
      </c>
      <c r="AD60" s="140"/>
      <c r="AE60" s="261">
        <f>TblMili[[#This Row],[Hour]]</f>
        <v>57</v>
      </c>
      <c r="AF60" s="141">
        <f ca="1">TblExplore[[#This Row],[Time]]</f>
        <v>45283.333333333198</v>
      </c>
      <c r="AG60" s="182"/>
      <c r="AH60" s="182"/>
      <c r="AI60" s="182"/>
      <c r="AJ60" s="182"/>
      <c r="AK60" s="182"/>
      <c r="AL60" s="182"/>
      <c r="AM60" s="182"/>
      <c r="AN60" s="182"/>
      <c r="AO60" s="145"/>
      <c r="AP60" s="97">
        <f ca="1">TblProd[[#This Row],[Platinum]]</f>
        <v>428094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45283.333333333198</v>
      </c>
      <c r="AV60" s="97">
        <f ca="1">TblMili[[#This Row],[Draftees]]</f>
        <v>776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ROUNDUP(IF(OR(race="Gnome", race="High Elf"),1,(1-MIN(TblMili[[#This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ROUNDUP(IF(OR(race="Gnome", race="High Elf"),1,(1-MIN(TblMili[[#This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ROUNDUP(IF(OR(race="Gnome", race="High Elf"),1,(1-MIN(TblMili[[#This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1240</v>
      </c>
      <c r="BP60" s="97">
        <f ca="1">ROUNDUP(IF(OR(race="Gnome", race="High Elf"),1,(1-MIN(TblMili[[#This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5700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1" s="262">
        <f ca="1">TblMili[[#This Row],[Non Draft]]+TblMili[[#This Row],[Draftees]]</f>
        <v>776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0</v>
      </c>
      <c r="W61" s="262">
        <f ca="1">TblMili[[#This Row],[Draft]] * (1 + TblMili[[#This Row],[Mods_Def]])</f>
        <v>776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776</v>
      </c>
      <c r="AB61" s="157"/>
      <c r="AC61" s="183">
        <f ca="1">(TblConstr[[#This Row],[Tot Smi]]+TblConstr[[#This Row],[Dest Smi]])/(TblConstr[[#This Row],[Land]]-TblExplore[[#This Row],[Land Bonus]]*20)</f>
        <v>0</v>
      </c>
      <c r="AD61" s="140"/>
      <c r="AE61" s="261">
        <f>TblMili[[#This Row],[Hour]]</f>
        <v>58</v>
      </c>
      <c r="AF61" s="141">
        <f ca="1">TblExplore[[#This Row],[Time]]</f>
        <v>45283.374999999862</v>
      </c>
      <c r="AG61" s="182"/>
      <c r="AH61" s="182"/>
      <c r="AI61" s="182"/>
      <c r="AJ61" s="182"/>
      <c r="AK61" s="182"/>
      <c r="AL61" s="182"/>
      <c r="AM61" s="182"/>
      <c r="AN61" s="182"/>
      <c r="AO61" s="145"/>
      <c r="AP61" s="97">
        <f ca="1">TblProd[[#This Row],[Platinum]]</f>
        <v>433580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45283.374999999862</v>
      </c>
      <c r="AV61" s="97">
        <f ca="1">TblMili[[#This Row],[Draftees]]</f>
        <v>776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ROUNDUP(IF(OR(race="Gnome", race="High Elf"),1,(1-MIN(TblMili[[#This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ROUNDUP(IF(OR(race="Gnome", race="High Elf"),1,(1-MIN(TblMili[[#This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ROUNDUP(IF(OR(race="Gnome", race="High Elf"),1,(1-MIN(TblMili[[#This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1240</v>
      </c>
      <c r="BP61" s="97">
        <f ca="1">ROUNDUP(IF(OR(race="Gnome", race="High Elf"),1,(1-MIN(TblMili[[#This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5700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2" s="262">
        <f ca="1">TblMili[[#This Row],[Non Draft]]+TblMili[[#This Row],[Draftees]]</f>
        <v>776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0</v>
      </c>
      <c r="W62" s="262">
        <f ca="1">TblMili[[#This Row],[Draft]] * (1 + TblMili[[#This Row],[Mods_Def]])</f>
        <v>776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776</v>
      </c>
      <c r="AB62" s="157"/>
      <c r="AC62" s="183">
        <f ca="1">(TblConstr[[#This Row],[Tot Smi]]+TblConstr[[#This Row],[Dest Smi]])/(TblConstr[[#This Row],[Land]]-TblExplore[[#This Row],[Land Bonus]]*20)</f>
        <v>0</v>
      </c>
      <c r="AD62" s="140"/>
      <c r="AE62" s="261">
        <f>TblMili[[#This Row],[Hour]]</f>
        <v>59</v>
      </c>
      <c r="AF62" s="141">
        <f ca="1">TblExplore[[#This Row],[Time]]</f>
        <v>45283.416666666526</v>
      </c>
      <c r="AG62" s="182"/>
      <c r="AH62" s="182"/>
      <c r="AI62" s="182"/>
      <c r="AJ62" s="182"/>
      <c r="AK62" s="182"/>
      <c r="AL62" s="182"/>
      <c r="AM62" s="182"/>
      <c r="AN62" s="182"/>
      <c r="AO62" s="145"/>
      <c r="AP62" s="97">
        <f ca="1">TblProd[[#This Row],[Platinum]]</f>
        <v>439066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45283.416666666526</v>
      </c>
      <c r="AV62" s="97">
        <f ca="1">TblMili[[#This Row],[Draftees]]</f>
        <v>776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ROUNDUP(IF(OR(race="Gnome", race="High Elf"),1,(1-MIN(TblMili[[#This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ROUNDUP(IF(OR(race="Gnome", race="High Elf"),1,(1-MIN(TblMili[[#This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ROUNDUP(IF(OR(race="Gnome", race="High Elf"),1,(1-MIN(TblMili[[#This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1240</v>
      </c>
      <c r="BP62" s="97">
        <f ca="1">ROUNDUP(IF(OR(race="Gnome", race="High Elf"),1,(1-MIN(TblMili[[#This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5700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3" s="262">
        <f ca="1">TblMili[[#This Row],[Non Draft]]+TblMili[[#This Row],[Draftees]]</f>
        <v>776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0</v>
      </c>
      <c r="W63" s="262">
        <f ca="1">TblMili[[#This Row],[Draft]] * (1 + TblMili[[#This Row],[Mods_Def]])</f>
        <v>776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776</v>
      </c>
      <c r="AB63" s="157"/>
      <c r="AC63" s="183">
        <f ca="1">(TblConstr[[#This Row],[Tot Smi]]+TblConstr[[#This Row],[Dest Smi]])/(TblConstr[[#This Row],[Land]]-TblExplore[[#This Row],[Land Bonus]]*20)</f>
        <v>0</v>
      </c>
      <c r="AD63" s="140"/>
      <c r="AE63" s="261">
        <f>TblMili[[#This Row],[Hour]]</f>
        <v>60</v>
      </c>
      <c r="AF63" s="141">
        <f ca="1">TblExplore[[#This Row],[Time]]</f>
        <v>45283.45833333319</v>
      </c>
      <c r="AG63" s="182"/>
      <c r="AH63" s="182"/>
      <c r="AI63" s="182"/>
      <c r="AJ63" s="182"/>
      <c r="AK63" s="182"/>
      <c r="AL63" s="182"/>
      <c r="AM63" s="182"/>
      <c r="AN63" s="182"/>
      <c r="AO63" s="145"/>
      <c r="AP63" s="97">
        <f ca="1">TblProd[[#This Row],[Platinum]]</f>
        <v>444552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45283.45833333319</v>
      </c>
      <c r="AV63" s="97">
        <f ca="1">TblMili[[#This Row],[Draftees]]</f>
        <v>776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ROUNDUP(IF(OR(race="Gnome", race="High Elf"),1,(1-MIN(TblMili[[#This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ROUNDUP(IF(OR(race="Gnome", race="High Elf"),1,(1-MIN(TblMili[[#This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ROUNDUP(IF(OR(race="Gnome", race="High Elf"),1,(1-MIN(TblMili[[#This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1240</v>
      </c>
      <c r="BP63" s="97">
        <f ca="1">ROUNDUP(IF(OR(race="Gnome", race="High Elf"),1,(1-MIN(TblMili[[#This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5700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4" s="262">
        <f ca="1">TblMili[[#This Row],[Non Draft]]+TblMili[[#This Row],[Draftees]]</f>
        <v>776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0</v>
      </c>
      <c r="W64" s="262">
        <f ca="1">TblMili[[#This Row],[Draft]] * (1 + TblMili[[#This Row],[Mods_Def]])</f>
        <v>776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776</v>
      </c>
      <c r="AB64" s="157"/>
      <c r="AC64" s="183">
        <f ca="1">(TblConstr[[#This Row],[Tot Smi]]+TblConstr[[#This Row],[Dest Smi]])/(TblConstr[[#This Row],[Land]]-TblExplore[[#This Row],[Land Bonus]]*20)</f>
        <v>0</v>
      </c>
      <c r="AD64" s="261"/>
      <c r="AE64" s="261">
        <f>TblMili[[#This Row],[Hour]]</f>
        <v>61</v>
      </c>
      <c r="AF64" s="141">
        <f ca="1">TblExplore[[#This Row],[Time]]</f>
        <v>45283.499999999854</v>
      </c>
      <c r="AG64" s="182"/>
      <c r="AH64" s="161"/>
      <c r="AI64" s="182"/>
      <c r="AJ64" s="161"/>
      <c r="AK64" s="161"/>
      <c r="AL64" s="161"/>
      <c r="AM64" s="161"/>
      <c r="AN64" s="182"/>
      <c r="AO64" s="145"/>
      <c r="AP64" s="97">
        <f ca="1">TblProd[[#This Row],[Platinum]]</f>
        <v>450038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45283.499999999854</v>
      </c>
      <c r="AV64" s="97">
        <f ca="1">TblMili[[#This Row],[Draftees]]</f>
        <v>776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ROUNDUP(IF(OR(race="Gnome", race="High Elf"),1,(1-MIN(TblMili[[#This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ROUNDUP(IF(OR(race="Gnome", race="High Elf"),1,(1-MIN(TblMili[[#This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ROUNDUP(IF(OR(race="Gnome", race="High Elf"),1,(1-MIN(TblMili[[#This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1240</v>
      </c>
      <c r="BP64" s="97">
        <f ca="1">ROUNDUP(IF(OR(race="Gnome", race="High Elf"),1,(1-MIN(TblMili[[#This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5700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5" s="262">
        <f ca="1">TblMili[[#This Row],[Non Draft]]+TblMili[[#This Row],[Draftees]]</f>
        <v>776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0</v>
      </c>
      <c r="W65" s="262">
        <f ca="1">TblMili[[#This Row],[Draft]] * (1 + TblMili[[#This Row],[Mods_Def]])</f>
        <v>776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776</v>
      </c>
      <c r="AB65" s="157"/>
      <c r="AC65" s="183">
        <f ca="1">(TblConstr[[#This Row],[Tot Smi]]+TblConstr[[#This Row],[Dest Smi]])/(TblConstr[[#This Row],[Land]]-TblExplore[[#This Row],[Land Bonus]]*20)</f>
        <v>0</v>
      </c>
      <c r="AD65" s="140"/>
      <c r="AE65" s="261">
        <f>TblMili[[#This Row],[Hour]]</f>
        <v>62</v>
      </c>
      <c r="AF65" s="141">
        <f ca="1">TblExplore[[#This Row],[Time]]</f>
        <v>45283.541666666519</v>
      </c>
      <c r="AG65" s="161"/>
      <c r="AH65" s="182"/>
      <c r="AI65" s="182"/>
      <c r="AJ65" s="182"/>
      <c r="AK65" s="182"/>
      <c r="AL65" s="182"/>
      <c r="AM65" s="182"/>
      <c r="AN65" s="182"/>
      <c r="AO65" s="145"/>
      <c r="AP65" s="97">
        <f ca="1">TblProd[[#This Row],[Platinum]]</f>
        <v>455524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45283.541666666519</v>
      </c>
      <c r="AV65" s="97">
        <f ca="1">TblMili[[#This Row],[Draftees]]</f>
        <v>776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ROUNDUP(IF(OR(race="Gnome", race="High Elf"),1,(1-MIN(TblMili[[#This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ROUNDUP(IF(OR(race="Gnome", race="High Elf"),1,(1-MIN(TblMili[[#This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ROUNDUP(IF(OR(race="Gnome", race="High Elf"),1,(1-MIN(TblMili[[#This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1240</v>
      </c>
      <c r="BP65" s="97">
        <f ca="1">ROUNDUP(IF(OR(race="Gnome", race="High Elf"),1,(1-MIN(TblMili[[#This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5700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6" s="262">
        <f ca="1">TblMili[[#This Row],[Non Draft]]+TblMili[[#This Row],[Draftees]]</f>
        <v>776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0</v>
      </c>
      <c r="W66" s="262">
        <f ca="1">TblMili[[#This Row],[Draft]] * (1 + TblMili[[#This Row],[Mods_Def]])</f>
        <v>776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776</v>
      </c>
      <c r="AB66" s="157"/>
      <c r="AC66" s="183">
        <f ca="1">(TblConstr[[#This Row],[Tot Smi]]+TblConstr[[#This Row],[Dest Smi]])/(TblConstr[[#This Row],[Land]]-TblExplore[[#This Row],[Land Bonus]]*20)</f>
        <v>0</v>
      </c>
      <c r="AD66" s="140"/>
      <c r="AE66" s="261">
        <f>TblMili[[#This Row],[Hour]]</f>
        <v>63</v>
      </c>
      <c r="AF66" s="141">
        <f ca="1">TblExplore[[#This Row],[Time]]</f>
        <v>45283.583333333183</v>
      </c>
      <c r="AG66" s="182"/>
      <c r="AH66" s="182"/>
      <c r="AI66" s="182"/>
      <c r="AJ66" s="182"/>
      <c r="AK66" s="182"/>
      <c r="AL66" s="182"/>
      <c r="AM66" s="182"/>
      <c r="AN66" s="182"/>
      <c r="AO66" s="145"/>
      <c r="AP66" s="97">
        <f ca="1">TblProd[[#This Row],[Platinum]]</f>
        <v>461010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45283.583333333183</v>
      </c>
      <c r="AV66" s="97">
        <f ca="1">TblMili[[#This Row],[Draftees]]</f>
        <v>776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ROUNDUP(IF(OR(race="Gnome", race="High Elf"),1,(1-MIN(TblMili[[#This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ROUNDUP(IF(OR(race="Gnome", race="High Elf"),1,(1-MIN(TblMili[[#This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ROUNDUP(IF(OR(race="Gnome", race="High Elf"),1,(1-MIN(TblMili[[#This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1240</v>
      </c>
      <c r="BP66" s="97">
        <f ca="1">ROUNDUP(IF(OR(race="Gnome", race="High Elf"),1,(1-MIN(TblMili[[#This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5700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7" s="262">
        <f ca="1">TblMili[[#This Row],[Non Draft]]+TblMili[[#This Row],[Draftees]]</f>
        <v>776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0</v>
      </c>
      <c r="W67" s="262">
        <f ca="1">TblMili[[#This Row],[Draft]] * (1 + TblMili[[#This Row],[Mods_Def]])</f>
        <v>776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776</v>
      </c>
      <c r="AB67" s="157"/>
      <c r="AC67" s="183">
        <f ca="1">(TblConstr[[#This Row],[Tot Smi]]+TblConstr[[#This Row],[Dest Smi]])/(TblConstr[[#This Row],[Land]]-TblExplore[[#This Row],[Land Bonus]]*20)</f>
        <v>0</v>
      </c>
      <c r="AD67" s="140"/>
      <c r="AE67" s="261">
        <f>TblMili[[#This Row],[Hour]]</f>
        <v>64</v>
      </c>
      <c r="AF67" s="141">
        <f ca="1">TblExplore[[#This Row],[Time]]</f>
        <v>45283.624999999847</v>
      </c>
      <c r="AG67" s="161"/>
      <c r="AH67" s="161"/>
      <c r="AI67" s="182"/>
      <c r="AJ67" s="182"/>
      <c r="AK67" s="182"/>
      <c r="AL67" s="182"/>
      <c r="AM67" s="182"/>
      <c r="AN67" s="182"/>
      <c r="AO67" s="145"/>
      <c r="AP67" s="97">
        <f ca="1">TblProd[[#This Row],[Platinum]]</f>
        <v>466496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45283.624999999847</v>
      </c>
      <c r="AV67" s="97">
        <f ca="1">TblMili[[#This Row],[Draftees]]</f>
        <v>776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ROUNDUP(IF(OR(race="Gnome", race="High Elf"),1,(1-MIN(TblMili[[#This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ROUNDUP(IF(OR(race="Gnome", race="High Elf"),1,(1-MIN(TblMili[[#This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ROUNDUP(IF(OR(race="Gnome", race="High Elf"),1,(1-MIN(TblMili[[#This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1240</v>
      </c>
      <c r="BP67" s="97">
        <f ca="1">ROUNDUP(IF(OR(race="Gnome", race="High Elf"),1,(1-MIN(TblMili[[#This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5700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8" s="262">
        <f ca="1">TblMili[[#This Row],[Non Draft]]+TblMili[[#This Row],[Draftees]]</f>
        <v>776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0</v>
      </c>
      <c r="W68" s="262">
        <f ca="1">TblMili[[#This Row],[Draft]] * (1 + TblMili[[#This Row],[Mods_Def]])</f>
        <v>776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776</v>
      </c>
      <c r="AB68" s="157"/>
      <c r="AC68" s="183">
        <f ca="1">(TblConstr[[#This Row],[Tot Smi]]+TblConstr[[#This Row],[Dest Smi]])/(TblConstr[[#This Row],[Land]]-TblExplore[[#This Row],[Land Bonus]]*20)</f>
        <v>0</v>
      </c>
      <c r="AD68" s="140"/>
      <c r="AE68" s="261">
        <f>TblMili[[#This Row],[Hour]]</f>
        <v>65</v>
      </c>
      <c r="AF68" s="141">
        <f ca="1">TblExplore[[#This Row],[Time]]</f>
        <v>45283.666666666511</v>
      </c>
      <c r="AG68" s="161"/>
      <c r="AH68" s="161"/>
      <c r="AI68" s="182"/>
      <c r="AJ68" s="182"/>
      <c r="AK68" s="182"/>
      <c r="AL68" s="182"/>
      <c r="AM68" s="182"/>
      <c r="AN68" s="182"/>
      <c r="AO68" s="145"/>
      <c r="AP68" s="97">
        <f ca="1">TblProd[[#This Row],[Platinum]]</f>
        <v>471982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45283.666666666511</v>
      </c>
      <c r="AV68" s="97">
        <f ca="1">TblMili[[#This Row],[Draftees]]</f>
        <v>776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ROUNDUP(IF(OR(race="Gnome", race="High Elf"),1,(1-MIN(TblMili[[#This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ROUNDUP(IF(OR(race="Gnome", race="High Elf"),1,(1-MIN(TblMili[[#This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ROUNDUP(IF(OR(race="Gnome", race="High Elf"),1,(1-MIN(TblMili[[#This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1240</v>
      </c>
      <c r="BP68" s="97">
        <f ca="1">ROUNDUP(IF(OR(race="Gnome", race="High Elf"),1,(1-MIN(TblMili[[#This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5700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69" s="262">
        <f ca="1">TblMili[[#This Row],[Non Draft]]+TblMili[[#This Row],[Draftees]]</f>
        <v>776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0</v>
      </c>
      <c r="W69" s="262">
        <f ca="1">TblMili[[#This Row],[Draft]] * (1 + TblMili[[#This Row],[Mods_Def]])</f>
        <v>776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776</v>
      </c>
      <c r="AB69" s="157"/>
      <c r="AC69" s="183">
        <f ca="1">(TblConstr[[#This Row],[Tot Smi]]+TblConstr[[#This Row],[Dest Smi]])/(TblConstr[[#This Row],[Land]]-TblExplore[[#This Row],[Land Bonus]]*20)</f>
        <v>0</v>
      </c>
      <c r="AD69" s="140"/>
      <c r="AE69" s="261">
        <f>TblMili[[#This Row],[Hour]]</f>
        <v>66</v>
      </c>
      <c r="AF69" s="141">
        <f ca="1">TblExplore[[#This Row],[Time]]</f>
        <v>45283.708333333176</v>
      </c>
      <c r="AG69" s="182"/>
      <c r="AH69" s="161"/>
      <c r="AI69" s="182"/>
      <c r="AJ69" s="182"/>
      <c r="AK69" s="182"/>
      <c r="AL69" s="182"/>
      <c r="AM69" s="182"/>
      <c r="AN69" s="182"/>
      <c r="AO69" s="145"/>
      <c r="AP69" s="97">
        <f ca="1">TblProd[[#This Row],[Platinum]]</f>
        <v>477468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45283.708333333176</v>
      </c>
      <c r="AV69" s="97">
        <f ca="1">TblMili[[#This Row],[Draftees]]</f>
        <v>776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ROUNDUP(IF(OR(race="Gnome", race="High Elf"),1,(1-MIN(TblMili[[#This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ROUNDUP(IF(OR(race="Gnome", race="High Elf"),1,(1-MIN(TblMili[[#This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ROUNDUP(IF(OR(race="Gnome", race="High Elf"),1,(1-MIN(TblMili[[#This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1240</v>
      </c>
      <c r="BP69" s="97">
        <f ca="1">ROUNDUP(IF(OR(race="Gnome", race="High Elf"),1,(1-MIN(TblMili[[#This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5700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0" s="262">
        <f ca="1">TblMili[[#This Row],[Non Draft]]+TblMili[[#This Row],[Draftees]]</f>
        <v>776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0</v>
      </c>
      <c r="W70" s="262">
        <f ca="1">TblMili[[#This Row],[Draft]] * (1 + TblMili[[#This Row],[Mods_Def]])</f>
        <v>776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776</v>
      </c>
      <c r="AB70" s="157"/>
      <c r="AC70" s="183">
        <f ca="1">(TblConstr[[#This Row],[Tot Smi]]+TblConstr[[#This Row],[Dest Smi]])/(TblConstr[[#This Row],[Land]]-TblExplore[[#This Row],[Land Bonus]]*20)</f>
        <v>0</v>
      </c>
      <c r="AD70" s="140"/>
      <c r="AE70" s="261">
        <f>TblMili[[#This Row],[Hour]]</f>
        <v>67</v>
      </c>
      <c r="AF70" s="141">
        <f ca="1">TblExplore[[#This Row],[Time]]</f>
        <v>45283.74999999984</v>
      </c>
      <c r="AG70" s="182"/>
      <c r="AH70" s="161"/>
      <c r="AI70" s="182"/>
      <c r="AJ70" s="182"/>
      <c r="AK70" s="182"/>
      <c r="AL70" s="182"/>
      <c r="AM70" s="182"/>
      <c r="AN70" s="182"/>
      <c r="AO70" s="145"/>
      <c r="AP70" s="97">
        <f ca="1">TblProd[[#This Row],[Platinum]]</f>
        <v>482954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45283.74999999984</v>
      </c>
      <c r="AV70" s="97">
        <f ca="1">TblMili[[#This Row],[Draftees]]</f>
        <v>776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ROUNDUP(IF(OR(race="Gnome", race="High Elf"),1,(1-MIN(TblMili[[#This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ROUNDUP(IF(OR(race="Gnome", race="High Elf"),1,(1-MIN(TblMili[[#This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ROUNDUP(IF(OR(race="Gnome", race="High Elf"),1,(1-MIN(TblMili[[#This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1240</v>
      </c>
      <c r="BP70" s="97">
        <f ca="1">ROUNDUP(IF(OR(race="Gnome", race="High Elf"),1,(1-MIN(TblMili[[#This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5700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1" s="262">
        <f ca="1">TblMili[[#This Row],[Non Draft]]+TblMili[[#This Row],[Draftees]]</f>
        <v>776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0</v>
      </c>
      <c r="W71" s="262">
        <f ca="1">TblMili[[#This Row],[Draft]] * (1 + TblMili[[#This Row],[Mods_Def]])</f>
        <v>776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776</v>
      </c>
      <c r="AB71" s="157"/>
      <c r="AC71" s="183">
        <f ca="1">(TblConstr[[#This Row],[Tot Smi]]+TblConstr[[#This Row],[Dest Smi]])/(TblConstr[[#This Row],[Land]]-TblExplore[[#This Row],[Land Bonus]]*20)</f>
        <v>0</v>
      </c>
      <c r="AD71" s="140"/>
      <c r="AE71" s="261">
        <f>TblMili[[#This Row],[Hour]]</f>
        <v>68</v>
      </c>
      <c r="AF71" s="141">
        <f ca="1">TblExplore[[#This Row],[Time]]</f>
        <v>45283.791666666504</v>
      </c>
      <c r="AG71" s="182"/>
      <c r="AH71" s="161"/>
      <c r="AI71" s="182"/>
      <c r="AJ71" s="182"/>
      <c r="AK71" s="182"/>
      <c r="AL71" s="182"/>
      <c r="AM71" s="182"/>
      <c r="AN71" s="182"/>
      <c r="AO71" s="145"/>
      <c r="AP71" s="97">
        <f ca="1">TblProd[[#This Row],[Platinum]]</f>
        <v>488440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45283.791666666504</v>
      </c>
      <c r="AV71" s="97">
        <f ca="1">TblMili[[#This Row],[Draftees]]</f>
        <v>776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ROUNDUP(IF(OR(race="Gnome", race="High Elf"),1,(1-MIN(TblMili[[#This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ROUNDUP(IF(OR(race="Gnome", race="High Elf"),1,(1-MIN(TblMili[[#This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ROUNDUP(IF(OR(race="Gnome", race="High Elf"),1,(1-MIN(TblMili[[#This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1240</v>
      </c>
      <c r="BP71" s="97">
        <f ca="1">ROUNDUP(IF(OR(race="Gnome", race="High Elf"),1,(1-MIN(TblMili[[#This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5700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2" s="262">
        <f ca="1">TblMili[[#This Row],[Non Draft]]+TblMili[[#This Row],[Draftees]]</f>
        <v>776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0</v>
      </c>
      <c r="W72" s="262">
        <f ca="1">TblMili[[#This Row],[Draft]] * (1 + TblMili[[#This Row],[Mods_Def]])</f>
        <v>776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776</v>
      </c>
      <c r="AB72" s="157"/>
      <c r="AC72" s="183">
        <f ca="1">(TblConstr[[#This Row],[Tot Smi]]+TblConstr[[#This Row],[Dest Smi]])/(TblConstr[[#This Row],[Land]]-TblExplore[[#This Row],[Land Bonus]]*20)</f>
        <v>0</v>
      </c>
      <c r="AD72" s="140"/>
      <c r="AE72" s="261">
        <f>TblMili[[#This Row],[Hour]]</f>
        <v>69</v>
      </c>
      <c r="AF72" s="141">
        <f ca="1">TblExplore[[#This Row],[Time]]</f>
        <v>45283.833333333168</v>
      </c>
      <c r="AG72" s="182"/>
      <c r="AH72" s="161"/>
      <c r="AI72" s="182"/>
      <c r="AJ72" s="182"/>
      <c r="AK72" s="182"/>
      <c r="AL72" s="182"/>
      <c r="AM72" s="182"/>
      <c r="AN72" s="182"/>
      <c r="AO72" s="145"/>
      <c r="AP72" s="97">
        <f ca="1">TblProd[[#This Row],[Platinum]]</f>
        <v>493926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45283.833333333168</v>
      </c>
      <c r="AV72" s="97">
        <f ca="1">TblMili[[#This Row],[Draftees]]</f>
        <v>776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ROUNDUP(IF(OR(race="Gnome", race="High Elf"),1,(1-MIN(TblMili[[#This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ROUNDUP(IF(OR(race="Gnome", race="High Elf"),1,(1-MIN(TblMili[[#This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ROUNDUP(IF(OR(race="Gnome", race="High Elf"),1,(1-MIN(TblMili[[#This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1240</v>
      </c>
      <c r="BP72" s="97">
        <f ca="1">ROUNDUP(IF(OR(race="Gnome", race="High Elf"),1,(1-MIN(TblMili[[#This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5700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3" s="262">
        <f ca="1">TblMili[[#This Row],[Non Draft]]+TblMili[[#This Row],[Draftees]]</f>
        <v>776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0</v>
      </c>
      <c r="W73" s="262">
        <f ca="1">TblMili[[#This Row],[Draft]] * (1 + TblMili[[#This Row],[Mods_Def]])</f>
        <v>776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776</v>
      </c>
      <c r="AB73" s="157"/>
      <c r="AC73" s="183">
        <f ca="1">(TblConstr[[#This Row],[Tot Smi]]+TblConstr[[#This Row],[Dest Smi]])/(TblConstr[[#This Row],[Land]]-TblExplore[[#This Row],[Land Bonus]]*20)</f>
        <v>0</v>
      </c>
      <c r="AD73" s="140"/>
      <c r="AE73" s="261">
        <f>TblMili[[#This Row],[Hour]]</f>
        <v>70</v>
      </c>
      <c r="AF73" s="141">
        <f ca="1">TblExplore[[#This Row],[Time]]</f>
        <v>45283.874999999833</v>
      </c>
      <c r="AG73" s="182"/>
      <c r="AH73" s="161"/>
      <c r="AI73" s="182"/>
      <c r="AJ73" s="182"/>
      <c r="AK73" s="182"/>
      <c r="AL73" s="182"/>
      <c r="AM73" s="182"/>
      <c r="AN73" s="182"/>
      <c r="AO73" s="145"/>
      <c r="AP73" s="97">
        <f ca="1">TblProd[[#This Row],[Platinum]]</f>
        <v>499412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45283.874999999833</v>
      </c>
      <c r="AV73" s="97">
        <f ca="1">TblMili[[#This Row],[Draftees]]</f>
        <v>776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ROUNDUP(IF(OR(race="Gnome", race="High Elf"),1,(1-MIN(TblMili[[#This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ROUNDUP(IF(OR(race="Gnome", race="High Elf"),1,(1-MIN(TblMili[[#This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ROUNDUP(IF(OR(race="Gnome", race="High Elf"),1,(1-MIN(TblMili[[#This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1240</v>
      </c>
      <c r="BP73" s="97">
        <f ca="1">ROUNDUP(IF(OR(race="Gnome", race="High Elf"),1,(1-MIN(TblMili[[#This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5700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4" s="262">
        <f ca="1">TblMili[[#This Row],[Non Draft]]+TblMili[[#This Row],[Draftees]]</f>
        <v>776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0</v>
      </c>
      <c r="W74" s="262">
        <f ca="1">TblMili[[#This Row],[Draft]] * (1 + TblMili[[#This Row],[Mods_Def]])</f>
        <v>776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776</v>
      </c>
      <c r="AB74" s="157"/>
      <c r="AC74" s="183">
        <f ca="1">(TblConstr[[#This Row],[Tot Smi]]+TblConstr[[#This Row],[Dest Smi]])/(TblConstr[[#This Row],[Land]]-TblExplore[[#This Row],[Land Bonus]]*20)</f>
        <v>0</v>
      </c>
      <c r="AD74" s="140"/>
      <c r="AE74" s="261">
        <f>TblMili[[#This Row],[Hour]]</f>
        <v>71</v>
      </c>
      <c r="AF74" s="141">
        <f ca="1">TblExplore[[#This Row],[Time]]</f>
        <v>45283.916666666497</v>
      </c>
      <c r="AG74" s="182"/>
      <c r="AH74" s="161"/>
      <c r="AI74" s="182"/>
      <c r="AJ74" s="182"/>
      <c r="AK74" s="182"/>
      <c r="AL74" s="182"/>
      <c r="AM74" s="182"/>
      <c r="AN74" s="182"/>
      <c r="AO74" s="145"/>
      <c r="AP74" s="97">
        <f ca="1">TblProd[[#This Row],[Platinum]]</f>
        <v>504898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45283.916666666497</v>
      </c>
      <c r="AV74" s="97">
        <f ca="1">TblMili[[#This Row],[Draftees]]</f>
        <v>776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ROUNDUP(IF(OR(race="Gnome", race="High Elf"),1,(1-MIN(TblMili[[#This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ROUNDUP(IF(OR(race="Gnome", race="High Elf"),1,(1-MIN(TblMili[[#This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ROUNDUP(IF(OR(race="Gnome", race="High Elf"),1,(1-MIN(TblMili[[#This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1240</v>
      </c>
      <c r="BP74" s="97">
        <f ca="1">ROUNDUP(IF(OR(race="Gnome", race="High Elf"),1,(1-MIN(TblMili[[#This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5700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5" s="262">
        <f ca="1">TblMili[[#This Row],[Non Draft]]+TblMili[[#This Row],[Draftees]]</f>
        <v>776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0</v>
      </c>
      <c r="W75" s="262">
        <f ca="1">TblMili[[#This Row],[Draft]] * (1 + TblMili[[#This Row],[Mods_Def]])</f>
        <v>776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776</v>
      </c>
      <c r="AB75" s="157"/>
      <c r="AC75" s="183">
        <f ca="1">(TblConstr[[#This Row],[Tot Smi]]+TblConstr[[#This Row],[Dest Smi]])/(TblConstr[[#This Row],[Land]]-TblExplore[[#This Row],[Land Bonus]]*20)</f>
        <v>0</v>
      </c>
      <c r="AD75" s="140"/>
      <c r="AE75" s="261">
        <f>TblMili[[#This Row],[Hour]]</f>
        <v>72</v>
      </c>
      <c r="AF75" s="141">
        <f ca="1">TblExplore[[#This Row],[Time]]</f>
        <v>45283.958333333161</v>
      </c>
      <c r="AG75" s="182"/>
      <c r="AH75" s="161"/>
      <c r="AI75" s="182"/>
      <c r="AJ75" s="182"/>
      <c r="AK75" s="182"/>
      <c r="AL75" s="182"/>
      <c r="AM75" s="182"/>
      <c r="AN75" s="182"/>
      <c r="AO75" s="145"/>
      <c r="AP75" s="97">
        <f ca="1">TblProd[[#This Row],[Platinum]]</f>
        <v>510384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45283.958333333161</v>
      </c>
      <c r="AV75" s="97">
        <f ca="1">TblMili[[#This Row],[Draftees]]</f>
        <v>776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ROUNDUP(IF(OR(race="Gnome", race="High Elf"),1,(1-MIN(TblMili[[#This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ROUNDUP(IF(OR(race="Gnome", race="High Elf"),1,(1-MIN(TblMili[[#This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ROUNDUP(IF(OR(race="Gnome", race="High Elf"),1,(1-MIN(TblMili[[#This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1240</v>
      </c>
      <c r="BP75" s="97">
        <f ca="1">ROUNDUP(IF(OR(race="Gnome", race="High Elf"),1,(1-MIN(TblMili[[#This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5700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6" s="274">
        <f ca="1">TblMili[[#This Row],[Non Draft]]+TblMili[[#This Row],[Draftees]]</f>
        <v>776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0</v>
      </c>
      <c r="W76" s="274">
        <f ca="1">TblMili[[#This Row],[Draft]] * (1 + TblMili[[#This Row],[Mods_Def]])</f>
        <v>776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776</v>
      </c>
      <c r="AB76" s="165"/>
      <c r="AC76" s="209">
        <f ca="1">(TblConstr[[#This Row],[Tot Smi]]+TblConstr[[#This Row],[Dest Smi]])/(TblConstr[[#This Row],[Land]]-TblExplore[[#This Row],[Land Bonus]]*20)</f>
        <v>0</v>
      </c>
      <c r="AD76" s="147"/>
      <c r="AE76" s="273">
        <f>TblMili[[#This Row],[Hour]]</f>
        <v>73</v>
      </c>
      <c r="AF76" s="148">
        <f ca="1">TblExplore[[#This Row],[Time]]</f>
        <v>45283.999999999825</v>
      </c>
      <c r="AG76" s="207"/>
      <c r="AH76" s="161"/>
      <c r="AI76" s="182"/>
      <c r="AJ76" s="207"/>
      <c r="AK76" s="207"/>
      <c r="AL76" s="207"/>
      <c r="AM76" s="207"/>
      <c r="AN76" s="207"/>
      <c r="AO76" s="152"/>
      <c r="AP76" s="210">
        <f ca="1">TblProd[[#This Row],[Platinum]]</f>
        <v>515870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45283.999999999825</v>
      </c>
      <c r="AV76" s="210">
        <f ca="1">TblMili[[#This Row],[Draftees]]</f>
        <v>776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ROUNDUP(IF(OR(race="Gnome", race="High Elf"),1,(1-MIN(TblMili[[#This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ROUNDUP(IF(OR(race="Gnome", race="High Elf"),1,(1-MIN(TblMili[[#This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ROUNDUP(IF(OR(race="Gnome", race="High Elf"),1,(1-MIN(TblMili[[#This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1240</v>
      </c>
      <c r="BP76" s="210">
        <f ca="1">ROUNDUP(IF(OR(race="Gnome", race="High Elf"),1,(1-MIN(TblMili[[#This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5700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7" s="262">
        <f ca="1">TblMili[[#This Row],[Non Draft]]+TblMili[[#This Row],[Draftees]]</f>
        <v>776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0</v>
      </c>
      <c r="W77" s="262">
        <f ca="1">TblMili[[#This Row],[Draft]] * (1 + TblMili[[#This Row],[Mods_Def]])</f>
        <v>776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776</v>
      </c>
      <c r="AB77" s="157"/>
      <c r="AC77" s="183">
        <f ca="1">(TblConstr[[#This Row],[Tot Smi]]+TblConstr[[#This Row],[Dest Smi]])/(TblConstr[[#This Row],[Land]]-TblExplore[[#This Row],[Land Bonus]]*20)</f>
        <v>0</v>
      </c>
      <c r="AD77" s="140"/>
      <c r="AE77" s="261">
        <f>TblMili[[#This Row],[Hour]]</f>
        <v>74</v>
      </c>
      <c r="AF77" s="141">
        <f ca="1">TblExplore[[#This Row],[Time]]</f>
        <v>45284.04166666649</v>
      </c>
      <c r="AG77" s="182"/>
      <c r="AH77" s="161"/>
      <c r="AI77" s="182"/>
      <c r="AJ77" s="182"/>
      <c r="AK77" s="182"/>
      <c r="AL77" s="182"/>
      <c r="AM77" s="182"/>
      <c r="AN77" s="182"/>
      <c r="AO77" s="145"/>
      <c r="AP77" s="97">
        <f ca="1">TblProd[[#This Row],[Platinum]]</f>
        <v>521356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45284.04166666649</v>
      </c>
      <c r="AV77" s="97">
        <f ca="1">TblMili[[#This Row],[Draftees]]</f>
        <v>776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ROUNDUP(IF(OR(race="Gnome", race="High Elf"),1,(1-MIN(TblMili[[#This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ROUNDUP(IF(OR(race="Gnome", race="High Elf"),1,(1-MIN(TblMili[[#This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ROUNDUP(IF(OR(race="Gnome", race="High Elf"),1,(1-MIN(TblMili[[#This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1240</v>
      </c>
      <c r="BP77" s="97">
        <f ca="1">ROUNDUP(IF(OR(race="Gnome", race="High Elf"),1,(1-MIN(TblMili[[#This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5700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8" s="262">
        <f ca="1">TblMili[[#This Row],[Non Draft]]+TblMili[[#This Row],[Draftees]]</f>
        <v>776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0</v>
      </c>
      <c r="W78" s="262">
        <f ca="1">TblMili[[#This Row],[Draft]] * (1 + TblMili[[#This Row],[Mods_Def]])</f>
        <v>776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776</v>
      </c>
      <c r="AB78" s="157"/>
      <c r="AC78" s="183">
        <f ca="1">(TblConstr[[#This Row],[Tot Smi]]+TblConstr[[#This Row],[Dest Smi]])/(TblConstr[[#This Row],[Land]]-TblExplore[[#This Row],[Land Bonus]]*20)</f>
        <v>0</v>
      </c>
      <c r="AD78" s="140"/>
      <c r="AE78" s="261">
        <f>TblMili[[#This Row],[Hour]]</f>
        <v>75</v>
      </c>
      <c r="AF78" s="141">
        <f ca="1">TblExplore[[#This Row],[Time]]</f>
        <v>45284.083333333154</v>
      </c>
      <c r="AG78" s="182"/>
      <c r="AH78" s="161"/>
      <c r="AI78" s="182"/>
      <c r="AJ78" s="182"/>
      <c r="AK78" s="182"/>
      <c r="AL78" s="182"/>
      <c r="AM78" s="182"/>
      <c r="AN78" s="182"/>
      <c r="AO78" s="145"/>
      <c r="AP78" s="97">
        <f ca="1">TblProd[[#This Row],[Platinum]]</f>
        <v>526842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45284.083333333154</v>
      </c>
      <c r="AV78" s="97">
        <f ca="1">TblMili[[#This Row],[Draftees]]</f>
        <v>776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ROUNDUP(IF(OR(race="Gnome", race="High Elf"),1,(1-MIN(TblMili[[#This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ROUNDUP(IF(OR(race="Gnome", race="High Elf"),1,(1-MIN(TblMili[[#This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ROUNDUP(IF(OR(race="Gnome", race="High Elf"),1,(1-MIN(TblMili[[#This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1240</v>
      </c>
      <c r="BP78" s="97">
        <f ca="1">ROUNDUP(IF(OR(race="Gnome", race="High Elf"),1,(1-MIN(TblMili[[#This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5700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79" s="262">
        <f ca="1">TblMili[[#This Row],[Non Draft]]+TblMili[[#This Row],[Draftees]]</f>
        <v>776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0</v>
      </c>
      <c r="W79" s="262">
        <f ca="1">TblMili[[#This Row],[Draft]] * (1 + TblMili[[#This Row],[Mods_Def]])</f>
        <v>776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776</v>
      </c>
      <c r="AB79" s="157"/>
      <c r="AC79" s="183">
        <f ca="1">(TblConstr[[#This Row],[Tot Smi]]+TblConstr[[#This Row],[Dest Smi]])/(TblConstr[[#This Row],[Land]]-TblExplore[[#This Row],[Land Bonus]]*20)</f>
        <v>0</v>
      </c>
      <c r="AD79" s="140"/>
      <c r="AE79" s="261">
        <f>TblMili[[#This Row],[Hour]]</f>
        <v>76</v>
      </c>
      <c r="AF79" s="141">
        <f ca="1">TblExplore[[#This Row],[Time]]</f>
        <v>45284.124999999818</v>
      </c>
      <c r="AG79" s="182"/>
      <c r="AH79" s="182"/>
      <c r="AI79" s="182"/>
      <c r="AJ79" s="182"/>
      <c r="AK79" s="182"/>
      <c r="AL79" s="182"/>
      <c r="AM79" s="182"/>
      <c r="AN79" s="182"/>
      <c r="AO79" s="145"/>
      <c r="AP79" s="97">
        <f ca="1">TblProd[[#This Row],[Platinum]]</f>
        <v>532328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45284.124999999818</v>
      </c>
      <c r="AV79" s="97">
        <f ca="1">TblMili[[#This Row],[Draftees]]</f>
        <v>776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ROUNDUP(IF(OR(race="Gnome", race="High Elf"),1,(1-MIN(TblMili[[#This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ROUNDUP(IF(OR(race="Gnome", race="High Elf"),1,(1-MIN(TblMili[[#This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ROUNDUP(IF(OR(race="Gnome", race="High Elf"),1,(1-MIN(TblMili[[#This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1240</v>
      </c>
      <c r="BP79" s="97">
        <f ca="1">ROUNDUP(IF(OR(race="Gnome", race="High Elf"),1,(1-MIN(TblMili[[#This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5700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0" s="262">
        <f ca="1">TblMili[[#This Row],[Non Draft]]+TblMili[[#This Row],[Draftees]]</f>
        <v>776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0</v>
      </c>
      <c r="W80" s="262">
        <f ca="1">TblMili[[#This Row],[Draft]] * (1 + TblMili[[#This Row],[Mods_Def]])</f>
        <v>776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776</v>
      </c>
      <c r="AB80" s="157"/>
      <c r="AC80" s="183">
        <f ca="1">(TblConstr[[#This Row],[Tot Smi]]+TblConstr[[#This Row],[Dest Smi]])/(TblConstr[[#This Row],[Land]]-TblExplore[[#This Row],[Land Bonus]]*20)</f>
        <v>0</v>
      </c>
      <c r="AD80" s="140"/>
      <c r="AE80" s="261">
        <f>TblMili[[#This Row],[Hour]]</f>
        <v>77</v>
      </c>
      <c r="AF80" s="141">
        <f ca="1">TblExplore[[#This Row],[Time]]</f>
        <v>45284.166666666482</v>
      </c>
      <c r="AG80" s="182"/>
      <c r="AH80" s="182"/>
      <c r="AI80" s="182"/>
      <c r="AJ80" s="182"/>
      <c r="AK80" s="182"/>
      <c r="AL80" s="182"/>
      <c r="AM80" s="182"/>
      <c r="AN80" s="182"/>
      <c r="AO80" s="145"/>
      <c r="AP80" s="97">
        <f ca="1">TblProd[[#This Row],[Platinum]]</f>
        <v>537814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45284.166666666482</v>
      </c>
      <c r="AV80" s="97">
        <f ca="1">TblMili[[#This Row],[Draftees]]</f>
        <v>776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ROUNDUP(IF(OR(race="Gnome", race="High Elf"),1,(1-MIN(TblMili[[#This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ROUNDUP(IF(OR(race="Gnome", race="High Elf"),1,(1-MIN(TblMili[[#This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ROUNDUP(IF(OR(race="Gnome", race="High Elf"),1,(1-MIN(TblMili[[#This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1240</v>
      </c>
      <c r="BP80" s="97">
        <f ca="1">ROUNDUP(IF(OR(race="Gnome", race="High Elf"),1,(1-MIN(TblMili[[#This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5700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1" s="262">
        <f ca="1">TblMili[[#This Row],[Non Draft]]+TblMili[[#This Row],[Draftees]]</f>
        <v>776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0</v>
      </c>
      <c r="W81" s="262">
        <f ca="1">TblMili[[#This Row],[Draft]] * (1 + TblMili[[#This Row],[Mods_Def]])</f>
        <v>776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776</v>
      </c>
      <c r="AB81" s="157"/>
      <c r="AC81" s="183">
        <f ca="1">(TblConstr[[#This Row],[Tot Smi]]+TblConstr[[#This Row],[Dest Smi]])/(TblConstr[[#This Row],[Land]]-TblExplore[[#This Row],[Land Bonus]]*20)</f>
        <v>0</v>
      </c>
      <c r="AD81" s="140"/>
      <c r="AE81" s="261">
        <f>TblMili[[#This Row],[Hour]]</f>
        <v>78</v>
      </c>
      <c r="AF81" s="141">
        <f ca="1">TblExplore[[#This Row],[Time]]</f>
        <v>45284.208333333147</v>
      </c>
      <c r="AG81" s="182"/>
      <c r="AH81" s="182"/>
      <c r="AI81" s="182"/>
      <c r="AJ81" s="182"/>
      <c r="AK81" s="182"/>
      <c r="AL81" s="182"/>
      <c r="AM81" s="182"/>
      <c r="AN81" s="182"/>
      <c r="AO81" s="145"/>
      <c r="AP81" s="97">
        <f ca="1">TblProd[[#This Row],[Platinum]]</f>
        <v>543300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45284.208333333147</v>
      </c>
      <c r="AV81" s="97">
        <f ca="1">TblMili[[#This Row],[Draftees]]</f>
        <v>776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ROUNDUP(IF(OR(race="Gnome", race="High Elf"),1,(1-MIN(TblMili[[#This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ROUNDUP(IF(OR(race="Gnome", race="High Elf"),1,(1-MIN(TblMili[[#This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ROUNDUP(IF(OR(race="Gnome", race="High Elf"),1,(1-MIN(TblMili[[#This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1240</v>
      </c>
      <c r="BP81" s="97">
        <f ca="1">ROUNDUP(IF(OR(race="Gnome", race="High Elf"),1,(1-MIN(TblMili[[#This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5700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2" s="262">
        <f ca="1">TblMili[[#This Row],[Non Draft]]+TblMili[[#This Row],[Draftees]]</f>
        <v>776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0</v>
      </c>
      <c r="W82" s="262">
        <f ca="1">TblMili[[#This Row],[Draft]] * (1 + TblMili[[#This Row],[Mods_Def]])</f>
        <v>776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776</v>
      </c>
      <c r="AB82" s="157"/>
      <c r="AC82" s="183">
        <f ca="1">(TblConstr[[#This Row],[Tot Smi]]+TblConstr[[#This Row],[Dest Smi]])/(TblConstr[[#This Row],[Land]]-TblExplore[[#This Row],[Land Bonus]]*20)</f>
        <v>0</v>
      </c>
      <c r="AD82" s="140"/>
      <c r="AE82" s="261">
        <f>TblMili[[#This Row],[Hour]]</f>
        <v>79</v>
      </c>
      <c r="AF82" s="141">
        <f ca="1">TblExplore[[#This Row],[Time]]</f>
        <v>45284.249999999811</v>
      </c>
      <c r="AG82" s="182"/>
      <c r="AH82" s="182"/>
      <c r="AI82" s="182"/>
      <c r="AJ82" s="182"/>
      <c r="AK82" s="182"/>
      <c r="AL82" s="182"/>
      <c r="AM82" s="182"/>
      <c r="AN82" s="182"/>
      <c r="AO82" s="145"/>
      <c r="AP82" s="97">
        <f ca="1">TblProd[[#This Row],[Platinum]]</f>
        <v>548786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45284.249999999811</v>
      </c>
      <c r="AV82" s="97">
        <f ca="1">TblMili[[#This Row],[Draftees]]</f>
        <v>776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ROUNDUP(IF(OR(race="Gnome", race="High Elf"),1,(1-MIN(TblMili[[#This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ROUNDUP(IF(OR(race="Gnome", race="High Elf"),1,(1-MIN(TblMili[[#This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ROUNDUP(IF(OR(race="Gnome", race="High Elf"),1,(1-MIN(TblMili[[#This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1240</v>
      </c>
      <c r="BP82" s="97">
        <f ca="1">ROUNDUP(IF(OR(race="Gnome", race="High Elf"),1,(1-MIN(TblMili[[#This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5700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3" s="262">
        <f ca="1">TblMili[[#This Row],[Non Draft]]+TblMili[[#This Row],[Draftees]]</f>
        <v>776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0</v>
      </c>
      <c r="W83" s="262">
        <f ca="1">TblMili[[#This Row],[Draft]] * (1 + TblMili[[#This Row],[Mods_Def]])</f>
        <v>776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776</v>
      </c>
      <c r="AB83" s="157"/>
      <c r="AC83" s="183">
        <f ca="1">(TblConstr[[#This Row],[Tot Smi]]+TblConstr[[#This Row],[Dest Smi]])/(TblConstr[[#This Row],[Land]]-TblExplore[[#This Row],[Land Bonus]]*20)</f>
        <v>0</v>
      </c>
      <c r="AD83" s="140"/>
      <c r="AE83" s="261">
        <f>TblMili[[#This Row],[Hour]]</f>
        <v>80</v>
      </c>
      <c r="AF83" s="141">
        <f ca="1">TblExplore[[#This Row],[Time]]</f>
        <v>45284.291666666475</v>
      </c>
      <c r="AG83" s="182"/>
      <c r="AH83" s="182"/>
      <c r="AI83" s="182"/>
      <c r="AJ83" s="182"/>
      <c r="AK83" s="182"/>
      <c r="AL83" s="182"/>
      <c r="AM83" s="182"/>
      <c r="AN83" s="182"/>
      <c r="AO83" s="145"/>
      <c r="AP83" s="97">
        <f ca="1">TblProd[[#This Row],[Platinum]]</f>
        <v>554272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45284.291666666475</v>
      </c>
      <c r="AV83" s="97">
        <f ca="1">TblMili[[#This Row],[Draftees]]</f>
        <v>776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ROUNDUP(IF(OR(race="Gnome", race="High Elf"),1,(1-MIN(TblMili[[#This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ROUNDUP(IF(OR(race="Gnome", race="High Elf"),1,(1-MIN(TblMili[[#This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ROUNDUP(IF(OR(race="Gnome", race="High Elf"),1,(1-MIN(TblMili[[#This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1240</v>
      </c>
      <c r="BP83" s="97">
        <f ca="1">ROUNDUP(IF(OR(race="Gnome", race="High Elf"),1,(1-MIN(TblMili[[#This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5700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4" s="262">
        <f ca="1">TblMili[[#This Row],[Non Draft]]+TblMili[[#This Row],[Draftees]]</f>
        <v>776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0</v>
      </c>
      <c r="W84" s="262">
        <f ca="1">TblMili[[#This Row],[Draft]] * (1 + TblMili[[#This Row],[Mods_Def]])</f>
        <v>776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776</v>
      </c>
      <c r="AB84" s="157"/>
      <c r="AC84" s="183">
        <f ca="1">(TblConstr[[#This Row],[Tot Smi]]+TblConstr[[#This Row],[Dest Smi]])/(TblConstr[[#This Row],[Land]]-TblExplore[[#This Row],[Land Bonus]]*20)</f>
        <v>0</v>
      </c>
      <c r="AD84" s="140"/>
      <c r="AE84" s="261">
        <f>TblMili[[#This Row],[Hour]]</f>
        <v>81</v>
      </c>
      <c r="AF84" s="141">
        <f ca="1">TblExplore[[#This Row],[Time]]</f>
        <v>45284.333333333139</v>
      </c>
      <c r="AG84" s="182"/>
      <c r="AH84" s="182"/>
      <c r="AI84" s="182"/>
      <c r="AJ84" s="182"/>
      <c r="AK84" s="182"/>
      <c r="AL84" s="182"/>
      <c r="AM84" s="182"/>
      <c r="AN84" s="182"/>
      <c r="AO84" s="145"/>
      <c r="AP84" s="97">
        <f ca="1">TblProd[[#This Row],[Platinum]]</f>
        <v>559758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45284.333333333139</v>
      </c>
      <c r="AV84" s="97">
        <f ca="1">TblMili[[#This Row],[Draftees]]</f>
        <v>776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ROUNDUP(IF(OR(race="Gnome", race="High Elf"),1,(1-MIN(TblMili[[#This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ROUNDUP(IF(OR(race="Gnome", race="High Elf"),1,(1-MIN(TblMili[[#This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ROUNDUP(IF(OR(race="Gnome", race="High Elf"),1,(1-MIN(TblMili[[#This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1240</v>
      </c>
      <c r="BP84" s="97">
        <f ca="1">ROUNDUP(IF(OR(race="Gnome", race="High Elf"),1,(1-MIN(TblMili[[#This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5700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5" s="262">
        <f ca="1">TblMili[[#This Row],[Non Draft]]+TblMili[[#This Row],[Draftees]]</f>
        <v>776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0</v>
      </c>
      <c r="W85" s="262">
        <f ca="1">TblMili[[#This Row],[Draft]] * (1 + TblMili[[#This Row],[Mods_Def]])</f>
        <v>776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776</v>
      </c>
      <c r="AB85" s="157"/>
      <c r="AC85" s="183">
        <f ca="1">(TblConstr[[#This Row],[Tot Smi]]+TblConstr[[#This Row],[Dest Smi]])/(TblConstr[[#This Row],[Land]]-TblExplore[[#This Row],[Land Bonus]]*20)</f>
        <v>0</v>
      </c>
      <c r="AD85" s="140"/>
      <c r="AE85" s="261">
        <f>TblMili[[#This Row],[Hour]]</f>
        <v>82</v>
      </c>
      <c r="AF85" s="141">
        <f ca="1">TblExplore[[#This Row],[Time]]</f>
        <v>45284.374999999804</v>
      </c>
      <c r="AG85" s="182"/>
      <c r="AH85" s="182"/>
      <c r="AI85" s="182"/>
      <c r="AJ85" s="182"/>
      <c r="AK85" s="182"/>
      <c r="AL85" s="182"/>
      <c r="AM85" s="182"/>
      <c r="AN85" s="182"/>
      <c r="AO85" s="145"/>
      <c r="AP85" s="97">
        <f ca="1">TblProd[[#This Row],[Platinum]]</f>
        <v>565244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45284.374999999804</v>
      </c>
      <c r="AV85" s="97">
        <f ca="1">TblMili[[#This Row],[Draftees]]</f>
        <v>776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ROUNDUP(IF(OR(race="Gnome", race="High Elf"),1,(1-MIN(TblMili[[#This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ROUNDUP(IF(OR(race="Gnome", race="High Elf"),1,(1-MIN(TblMili[[#This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ROUNDUP(IF(OR(race="Gnome", race="High Elf"),1,(1-MIN(TblMili[[#This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1240</v>
      </c>
      <c r="BP85" s="97">
        <f ca="1">ROUNDUP(IF(OR(race="Gnome", race="High Elf"),1,(1-MIN(TblMili[[#This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5700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6" s="262">
        <f ca="1">TblMili[[#This Row],[Non Draft]]+TblMili[[#This Row],[Draftees]]</f>
        <v>776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0</v>
      </c>
      <c r="W86" s="262">
        <f ca="1">TblMili[[#This Row],[Draft]] * (1 + TblMili[[#This Row],[Mods_Def]])</f>
        <v>776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776</v>
      </c>
      <c r="AB86" s="157"/>
      <c r="AC86" s="183">
        <f ca="1">(TblConstr[[#This Row],[Tot Smi]]+TblConstr[[#This Row],[Dest Smi]])/(TblConstr[[#This Row],[Land]]-TblExplore[[#This Row],[Land Bonus]]*20)</f>
        <v>0</v>
      </c>
      <c r="AD86" s="140"/>
      <c r="AE86" s="261">
        <f>TblMili[[#This Row],[Hour]]</f>
        <v>83</v>
      </c>
      <c r="AF86" s="141">
        <f ca="1">TblExplore[[#This Row],[Time]]</f>
        <v>45284.416666666468</v>
      </c>
      <c r="AG86" s="182"/>
      <c r="AH86" s="182"/>
      <c r="AI86" s="182"/>
      <c r="AJ86" s="182"/>
      <c r="AK86" s="182"/>
      <c r="AL86" s="182"/>
      <c r="AM86" s="182"/>
      <c r="AN86" s="182"/>
      <c r="AO86" s="145"/>
      <c r="AP86" s="97">
        <f ca="1">TblProd[[#This Row],[Platinum]]</f>
        <v>570730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45284.416666666468</v>
      </c>
      <c r="AV86" s="97">
        <f ca="1">TblMili[[#This Row],[Draftees]]</f>
        <v>776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ROUNDUP(IF(OR(race="Gnome", race="High Elf"),1,(1-MIN(TblMili[[#This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ROUNDUP(IF(OR(race="Gnome", race="High Elf"),1,(1-MIN(TblMili[[#This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ROUNDUP(IF(OR(race="Gnome", race="High Elf"),1,(1-MIN(TblMili[[#This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1240</v>
      </c>
      <c r="BP86" s="97">
        <f ca="1">ROUNDUP(IF(OR(race="Gnome", race="High Elf"),1,(1-MIN(TblMili[[#This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5700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7" s="262">
        <f ca="1">TblMili[[#This Row],[Non Draft]]+TblMili[[#This Row],[Draftees]]</f>
        <v>776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0</v>
      </c>
      <c r="W87" s="262">
        <f ca="1">TblMili[[#This Row],[Draft]] * (1 + TblMili[[#This Row],[Mods_Def]])</f>
        <v>776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776</v>
      </c>
      <c r="AB87" s="157"/>
      <c r="AC87" s="183">
        <f ca="1">(TblConstr[[#This Row],[Tot Smi]]+TblConstr[[#This Row],[Dest Smi]])/(TblConstr[[#This Row],[Land]]-TblExplore[[#This Row],[Land Bonus]]*20)</f>
        <v>0</v>
      </c>
      <c r="AD87" s="140"/>
      <c r="AE87" s="261">
        <f>TblMili[[#This Row],[Hour]]</f>
        <v>84</v>
      </c>
      <c r="AF87" s="141">
        <f ca="1">TblExplore[[#This Row],[Time]]</f>
        <v>45284.458333333132</v>
      </c>
      <c r="AG87" s="182"/>
      <c r="AH87" s="182"/>
      <c r="AI87" s="182"/>
      <c r="AJ87" s="182"/>
      <c r="AK87" s="182"/>
      <c r="AL87" s="182"/>
      <c r="AM87" s="182"/>
      <c r="AN87" s="182"/>
      <c r="AO87" s="145"/>
      <c r="AP87" s="97">
        <f ca="1">TblProd[[#This Row],[Platinum]]</f>
        <v>576216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45284.458333333132</v>
      </c>
      <c r="AV87" s="97">
        <f ca="1">TblMili[[#This Row],[Draftees]]</f>
        <v>776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ROUNDUP(IF(OR(race="Gnome", race="High Elf"),1,(1-MIN(TblMili[[#This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ROUNDUP(IF(OR(race="Gnome", race="High Elf"),1,(1-MIN(TblMili[[#This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ROUNDUP(IF(OR(race="Gnome", race="High Elf"),1,(1-MIN(TblMili[[#This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1240</v>
      </c>
      <c r="BP87" s="97">
        <f ca="1">ROUNDUP(IF(OR(race="Gnome", race="High Elf"),1,(1-MIN(TblMili[[#This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5700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8" s="262">
        <f ca="1">TblMili[[#This Row],[Non Draft]]+TblMili[[#This Row],[Draftees]]</f>
        <v>776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0</v>
      </c>
      <c r="W88" s="262">
        <f ca="1">TblMili[[#This Row],[Draft]] * (1 + TblMili[[#This Row],[Mods_Def]])</f>
        <v>776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776</v>
      </c>
      <c r="AB88" s="157"/>
      <c r="AC88" s="183">
        <f ca="1">(TblConstr[[#This Row],[Tot Smi]]+TblConstr[[#This Row],[Dest Smi]])/(TblConstr[[#This Row],[Land]]-TblExplore[[#This Row],[Land Bonus]]*20)</f>
        <v>0</v>
      </c>
      <c r="AD88" s="261"/>
      <c r="AE88" s="261">
        <f>TblMili[[#This Row],[Hour]]</f>
        <v>85</v>
      </c>
      <c r="AF88" s="141">
        <f ca="1">TblExplore[[#This Row],[Time]]</f>
        <v>45284.499999999796</v>
      </c>
      <c r="AG88" s="182"/>
      <c r="AH88" s="182"/>
      <c r="AI88" s="182"/>
      <c r="AJ88" s="182"/>
      <c r="AK88" s="182"/>
      <c r="AL88" s="182"/>
      <c r="AM88" s="182"/>
      <c r="AN88" s="182"/>
      <c r="AO88" s="145"/>
      <c r="AP88" s="97">
        <f ca="1">TblProd[[#This Row],[Platinum]]</f>
        <v>581702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45284.499999999796</v>
      </c>
      <c r="AV88" s="97">
        <f ca="1">TblMili[[#This Row],[Draftees]]</f>
        <v>776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ROUNDUP(IF(OR(race="Gnome", race="High Elf"),1,(1-MIN(TblMili[[#This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ROUNDUP(IF(OR(race="Gnome", race="High Elf"),1,(1-MIN(TblMili[[#This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ROUNDUP(IF(OR(race="Gnome", race="High Elf"),1,(1-MIN(TblMili[[#This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1240</v>
      </c>
      <c r="BP88" s="97">
        <f ca="1">ROUNDUP(IF(OR(race="Gnome", race="High Elf"),1,(1-MIN(TblMili[[#This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5700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89" s="262">
        <f ca="1">TblMili[[#This Row],[Non Draft]]+TblMili[[#This Row],[Draftees]]</f>
        <v>776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0</v>
      </c>
      <c r="W89" s="262">
        <f ca="1">TblMili[[#This Row],[Draft]] * (1 + TblMili[[#This Row],[Mods_Def]])</f>
        <v>776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776</v>
      </c>
      <c r="AB89" s="157"/>
      <c r="AC89" s="183">
        <f ca="1">(TblConstr[[#This Row],[Tot Smi]]+TblConstr[[#This Row],[Dest Smi]])/(TblConstr[[#This Row],[Land]]-TblExplore[[#This Row],[Land Bonus]]*20)</f>
        <v>0</v>
      </c>
      <c r="AD89" s="140"/>
      <c r="AE89" s="261">
        <f>TblMili[[#This Row],[Hour]]</f>
        <v>86</v>
      </c>
      <c r="AF89" s="141">
        <f ca="1">TblExplore[[#This Row],[Time]]</f>
        <v>45284.541666666461</v>
      </c>
      <c r="AG89" s="182"/>
      <c r="AH89" s="182"/>
      <c r="AI89" s="182"/>
      <c r="AJ89" s="182"/>
      <c r="AK89" s="182"/>
      <c r="AL89" s="182"/>
      <c r="AM89" s="182"/>
      <c r="AN89" s="182"/>
      <c r="AO89" s="145"/>
      <c r="AP89" s="97">
        <f ca="1">TblProd[[#This Row],[Platinum]]</f>
        <v>587188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45284.541666666461</v>
      </c>
      <c r="AV89" s="97">
        <f ca="1">TblMili[[#This Row],[Draftees]]</f>
        <v>776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ROUNDUP(IF(OR(race="Gnome", race="High Elf"),1,(1-MIN(TblMili[[#This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ROUNDUP(IF(OR(race="Gnome", race="High Elf"),1,(1-MIN(TblMili[[#This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ROUNDUP(IF(OR(race="Gnome", race="High Elf"),1,(1-MIN(TblMili[[#This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1240</v>
      </c>
      <c r="BP89" s="97">
        <f ca="1">ROUNDUP(IF(OR(race="Gnome", race="High Elf"),1,(1-MIN(TblMili[[#This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5700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0" s="262">
        <f ca="1">TblMili[[#This Row],[Non Draft]]+TblMili[[#This Row],[Draftees]]</f>
        <v>776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0</v>
      </c>
      <c r="W90" s="262">
        <f ca="1">TblMili[[#This Row],[Draft]] * (1 + TblMili[[#This Row],[Mods_Def]])</f>
        <v>776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776</v>
      </c>
      <c r="AB90" s="157"/>
      <c r="AC90" s="183">
        <f ca="1">(TblConstr[[#This Row],[Tot Smi]]+TblConstr[[#This Row],[Dest Smi]])/(TblConstr[[#This Row],[Land]]-TblExplore[[#This Row],[Land Bonus]]*20)</f>
        <v>0</v>
      </c>
      <c r="AD90" s="140"/>
      <c r="AE90" s="261">
        <f>TblMili[[#This Row],[Hour]]</f>
        <v>87</v>
      </c>
      <c r="AF90" s="141">
        <f ca="1">TblExplore[[#This Row],[Time]]</f>
        <v>45284.583333333125</v>
      </c>
      <c r="AG90" s="182"/>
      <c r="AH90" s="182"/>
      <c r="AI90" s="182"/>
      <c r="AJ90" s="182"/>
      <c r="AK90" s="182"/>
      <c r="AL90" s="182"/>
      <c r="AM90" s="182"/>
      <c r="AN90" s="182"/>
      <c r="AO90" s="145"/>
      <c r="AP90" s="97">
        <f ca="1">TblProd[[#This Row],[Platinum]]</f>
        <v>592674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45284.583333333125</v>
      </c>
      <c r="AV90" s="97">
        <f ca="1">TblMili[[#This Row],[Draftees]]</f>
        <v>776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ROUNDUP(IF(OR(race="Gnome", race="High Elf"),1,(1-MIN(TblMili[[#This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ROUNDUP(IF(OR(race="Gnome", race="High Elf"),1,(1-MIN(TblMili[[#This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ROUNDUP(IF(OR(race="Gnome", race="High Elf"),1,(1-MIN(TblMili[[#This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1240</v>
      </c>
      <c r="BP90" s="97">
        <f ca="1">ROUNDUP(IF(OR(race="Gnome", race="High Elf"),1,(1-MIN(TblMili[[#This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5700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1" s="262">
        <f ca="1">TblMili[[#This Row],[Non Draft]]+TblMili[[#This Row],[Draftees]]</f>
        <v>776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0</v>
      </c>
      <c r="W91" s="262">
        <f ca="1">TblMili[[#This Row],[Draft]] * (1 + TblMili[[#This Row],[Mods_Def]])</f>
        <v>776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776</v>
      </c>
      <c r="AB91" s="157"/>
      <c r="AC91" s="183">
        <f ca="1">(TblConstr[[#This Row],[Tot Smi]]+TblConstr[[#This Row],[Dest Smi]])/(TblConstr[[#This Row],[Land]]-TblExplore[[#This Row],[Land Bonus]]*20)</f>
        <v>0</v>
      </c>
      <c r="AD91" s="140"/>
      <c r="AE91" s="261">
        <f>TblMili[[#This Row],[Hour]]</f>
        <v>88</v>
      </c>
      <c r="AF91" s="141">
        <f ca="1">TblExplore[[#This Row],[Time]]</f>
        <v>45284.624999999789</v>
      </c>
      <c r="AG91" s="182"/>
      <c r="AH91" s="182"/>
      <c r="AI91" s="182"/>
      <c r="AJ91" s="182"/>
      <c r="AK91" s="182"/>
      <c r="AL91" s="182"/>
      <c r="AM91" s="182"/>
      <c r="AN91" s="182"/>
      <c r="AO91" s="145"/>
      <c r="AP91" s="97">
        <f ca="1">TblProd[[#This Row],[Platinum]]</f>
        <v>598160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45284.624999999789</v>
      </c>
      <c r="AV91" s="97">
        <f ca="1">TblMili[[#This Row],[Draftees]]</f>
        <v>776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ROUNDUP(IF(OR(race="Gnome", race="High Elf"),1,(1-MIN(TblMili[[#This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ROUNDUP(IF(OR(race="Gnome", race="High Elf"),1,(1-MIN(TblMili[[#This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ROUNDUP(IF(OR(race="Gnome", race="High Elf"),1,(1-MIN(TblMili[[#This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1240</v>
      </c>
      <c r="BP91" s="97">
        <f ca="1">ROUNDUP(IF(OR(race="Gnome", race="High Elf"),1,(1-MIN(TblMili[[#This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5700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2" s="262">
        <f ca="1">TblMili[[#This Row],[Non Draft]]+TblMili[[#This Row],[Draftees]]</f>
        <v>776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0</v>
      </c>
      <c r="W92" s="262">
        <f ca="1">TblMili[[#This Row],[Draft]] * (1 + TblMili[[#This Row],[Mods_Def]])</f>
        <v>776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776</v>
      </c>
      <c r="AB92" s="157"/>
      <c r="AC92" s="183">
        <f ca="1">(TblConstr[[#This Row],[Tot Smi]]+TblConstr[[#This Row],[Dest Smi]])/(TblConstr[[#This Row],[Land]]-TblExplore[[#This Row],[Land Bonus]]*20)</f>
        <v>0</v>
      </c>
      <c r="AD92" s="140"/>
      <c r="AE92" s="261">
        <f>TblMili[[#This Row],[Hour]]</f>
        <v>89</v>
      </c>
      <c r="AF92" s="141">
        <f ca="1">TblExplore[[#This Row],[Time]]</f>
        <v>45284.666666666453</v>
      </c>
      <c r="AG92" s="182"/>
      <c r="AH92" s="182"/>
      <c r="AI92" s="182"/>
      <c r="AJ92" s="182"/>
      <c r="AK92" s="182"/>
      <c r="AL92" s="182"/>
      <c r="AM92" s="182"/>
      <c r="AN92" s="182"/>
      <c r="AO92" s="145"/>
      <c r="AP92" s="97">
        <f ca="1">TblProd[[#This Row],[Platinum]]</f>
        <v>603646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45284.666666666453</v>
      </c>
      <c r="AV92" s="97">
        <f ca="1">TblMili[[#This Row],[Draftees]]</f>
        <v>776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ROUNDUP(IF(OR(race="Gnome", race="High Elf"),1,(1-MIN(TblMili[[#This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ROUNDUP(IF(OR(race="Gnome", race="High Elf"),1,(1-MIN(TblMili[[#This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ROUNDUP(IF(OR(race="Gnome", race="High Elf"),1,(1-MIN(TblMili[[#This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1240</v>
      </c>
      <c r="BP92" s="97">
        <f ca="1">ROUNDUP(IF(OR(race="Gnome", race="High Elf"),1,(1-MIN(TblMili[[#This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5700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3" s="262">
        <f ca="1">TblMili[[#This Row],[Non Draft]]+TblMili[[#This Row],[Draftees]]</f>
        <v>776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0</v>
      </c>
      <c r="W93" s="262">
        <f ca="1">TblMili[[#This Row],[Draft]] * (1 + TblMili[[#This Row],[Mods_Def]])</f>
        <v>776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776</v>
      </c>
      <c r="AB93" s="157"/>
      <c r="AC93" s="183">
        <f ca="1">(TblConstr[[#This Row],[Tot Smi]]+TblConstr[[#This Row],[Dest Smi]])/(TblConstr[[#This Row],[Land]]-TblExplore[[#This Row],[Land Bonus]]*20)</f>
        <v>0</v>
      </c>
      <c r="AD93" s="140"/>
      <c r="AE93" s="261">
        <f>TblMili[[#This Row],[Hour]]</f>
        <v>90</v>
      </c>
      <c r="AF93" s="141">
        <f ca="1">TblExplore[[#This Row],[Time]]</f>
        <v>45284.708333333117</v>
      </c>
      <c r="AG93" s="182"/>
      <c r="AH93" s="182"/>
      <c r="AI93" s="182"/>
      <c r="AJ93" s="182"/>
      <c r="AK93" s="182"/>
      <c r="AL93" s="182"/>
      <c r="AM93" s="182"/>
      <c r="AN93" s="182"/>
      <c r="AO93" s="145"/>
      <c r="AP93" s="97">
        <f ca="1">TblProd[[#This Row],[Platinum]]</f>
        <v>609132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45284.708333333117</v>
      </c>
      <c r="AV93" s="97">
        <f ca="1">TblMili[[#This Row],[Draftees]]</f>
        <v>776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ROUNDUP(IF(OR(race="Gnome", race="High Elf"),1,(1-MIN(TblMili[[#This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ROUNDUP(IF(OR(race="Gnome", race="High Elf"),1,(1-MIN(TblMili[[#This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ROUNDUP(IF(OR(race="Gnome", race="High Elf"),1,(1-MIN(TblMili[[#This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1240</v>
      </c>
      <c r="BP93" s="97">
        <f ca="1">ROUNDUP(IF(OR(race="Gnome", race="High Elf"),1,(1-MIN(TblMili[[#This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5700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4" s="262">
        <f ca="1">TblMili[[#This Row],[Non Draft]]+TblMili[[#This Row],[Draftees]]</f>
        <v>776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0</v>
      </c>
      <c r="W94" s="262">
        <f ca="1">TblMili[[#This Row],[Draft]] * (1 + TblMili[[#This Row],[Mods_Def]])</f>
        <v>776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776</v>
      </c>
      <c r="AB94" s="157"/>
      <c r="AC94" s="183">
        <f ca="1">(TblConstr[[#This Row],[Tot Smi]]+TblConstr[[#This Row],[Dest Smi]])/(TblConstr[[#This Row],[Land]]-TblExplore[[#This Row],[Land Bonus]]*20)</f>
        <v>0</v>
      </c>
      <c r="AD94" s="140"/>
      <c r="AE94" s="261">
        <f>TblMili[[#This Row],[Hour]]</f>
        <v>91</v>
      </c>
      <c r="AF94" s="141">
        <f ca="1">TblExplore[[#This Row],[Time]]</f>
        <v>45284.749999999782</v>
      </c>
      <c r="AG94" s="182"/>
      <c r="AH94" s="182"/>
      <c r="AI94" s="182"/>
      <c r="AJ94" s="182"/>
      <c r="AK94" s="182"/>
      <c r="AL94" s="182"/>
      <c r="AM94" s="182"/>
      <c r="AN94" s="182"/>
      <c r="AO94" s="145"/>
      <c r="AP94" s="97">
        <f ca="1">TblProd[[#This Row],[Platinum]]</f>
        <v>614618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45284.749999999782</v>
      </c>
      <c r="AV94" s="97">
        <f ca="1">TblMili[[#This Row],[Draftees]]</f>
        <v>776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ROUNDUP(IF(OR(race="Gnome", race="High Elf"),1,(1-MIN(TblMili[[#This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ROUNDUP(IF(OR(race="Gnome", race="High Elf"),1,(1-MIN(TblMili[[#This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ROUNDUP(IF(OR(race="Gnome", race="High Elf"),1,(1-MIN(TblMili[[#This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1240</v>
      </c>
      <c r="BP94" s="97">
        <f ca="1">ROUNDUP(IF(OR(race="Gnome", race="High Elf"),1,(1-MIN(TblMili[[#This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5700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5" s="262">
        <f ca="1">TblMili[[#This Row],[Non Draft]]+TblMili[[#This Row],[Draftees]]</f>
        <v>776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0</v>
      </c>
      <c r="W95" s="262">
        <f ca="1">TblMili[[#This Row],[Draft]] * (1 + TblMili[[#This Row],[Mods_Def]])</f>
        <v>776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776</v>
      </c>
      <c r="AB95" s="157"/>
      <c r="AC95" s="183">
        <f ca="1">(TblConstr[[#This Row],[Tot Smi]]+TblConstr[[#This Row],[Dest Smi]])/(TblConstr[[#This Row],[Land]]-TblExplore[[#This Row],[Land Bonus]]*20)</f>
        <v>0</v>
      </c>
      <c r="AD95" s="140"/>
      <c r="AE95" s="261">
        <f>TblMili[[#This Row],[Hour]]</f>
        <v>92</v>
      </c>
      <c r="AF95" s="141">
        <f ca="1">TblExplore[[#This Row],[Time]]</f>
        <v>45284.791666666446</v>
      </c>
      <c r="AG95" s="182"/>
      <c r="AH95" s="182"/>
      <c r="AI95" s="182"/>
      <c r="AJ95" s="182"/>
      <c r="AK95" s="182"/>
      <c r="AL95" s="182"/>
      <c r="AM95" s="182"/>
      <c r="AN95" s="182"/>
      <c r="AO95" s="145"/>
      <c r="AP95" s="97">
        <f ca="1">TblProd[[#This Row],[Platinum]]</f>
        <v>620104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45284.791666666446</v>
      </c>
      <c r="AV95" s="97">
        <f ca="1">TblMili[[#This Row],[Draftees]]</f>
        <v>776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ROUNDUP(IF(OR(race="Gnome", race="High Elf"),1,(1-MIN(TblMili[[#This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ROUNDUP(IF(OR(race="Gnome", race="High Elf"),1,(1-MIN(TblMili[[#This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ROUNDUP(IF(OR(race="Gnome", race="High Elf"),1,(1-MIN(TblMili[[#This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1240</v>
      </c>
      <c r="BP95" s="97">
        <f ca="1">ROUNDUP(IF(OR(race="Gnome", race="High Elf"),1,(1-MIN(TblMili[[#This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5700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6" s="262">
        <f ca="1">TblMili[[#This Row],[Non Draft]]+TblMili[[#This Row],[Draftees]]</f>
        <v>776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0</v>
      </c>
      <c r="W96" s="262">
        <f ca="1">TblMili[[#This Row],[Draft]] * (1 + TblMili[[#This Row],[Mods_Def]])</f>
        <v>776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776</v>
      </c>
      <c r="AB96" s="157"/>
      <c r="AC96" s="183">
        <f ca="1">(TblConstr[[#This Row],[Tot Smi]]+TblConstr[[#This Row],[Dest Smi]])/(TblConstr[[#This Row],[Land]]-TblExplore[[#This Row],[Land Bonus]]*20)</f>
        <v>0</v>
      </c>
      <c r="AD96" s="140"/>
      <c r="AE96" s="261">
        <f>TblMili[[#This Row],[Hour]]</f>
        <v>93</v>
      </c>
      <c r="AF96" s="141">
        <f ca="1">TblExplore[[#This Row],[Time]]</f>
        <v>45284.83333333311</v>
      </c>
      <c r="AG96" s="182"/>
      <c r="AH96" s="182"/>
      <c r="AI96" s="182"/>
      <c r="AJ96" s="182"/>
      <c r="AK96" s="182"/>
      <c r="AL96" s="182"/>
      <c r="AM96" s="182"/>
      <c r="AN96" s="182"/>
      <c r="AO96" s="145"/>
      <c r="AP96" s="97">
        <f ca="1">TblProd[[#This Row],[Platinum]]</f>
        <v>625590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45284.83333333311</v>
      </c>
      <c r="AV96" s="97">
        <f ca="1">TblMili[[#This Row],[Draftees]]</f>
        <v>776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ROUNDUP(IF(OR(race="Gnome", race="High Elf"),1,(1-MIN(TblMili[[#This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ROUNDUP(IF(OR(race="Gnome", race="High Elf"),1,(1-MIN(TblMili[[#This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ROUNDUP(IF(OR(race="Gnome", race="High Elf"),1,(1-MIN(TblMili[[#This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1240</v>
      </c>
      <c r="BP96" s="97">
        <f ca="1">ROUNDUP(IF(OR(race="Gnome", race="High Elf"),1,(1-MIN(TblMili[[#This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5700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7" s="262">
        <f ca="1">TblMili[[#This Row],[Non Draft]]+TblMili[[#This Row],[Draftees]]</f>
        <v>776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0</v>
      </c>
      <c r="W97" s="262">
        <f ca="1">TblMili[[#This Row],[Draft]] * (1 + TblMili[[#This Row],[Mods_Def]])</f>
        <v>776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776</v>
      </c>
      <c r="AB97" s="157"/>
      <c r="AC97" s="183">
        <f ca="1">(TblConstr[[#This Row],[Tot Smi]]+TblConstr[[#This Row],[Dest Smi]])/(TblConstr[[#This Row],[Land]]-TblExplore[[#This Row],[Land Bonus]]*20)</f>
        <v>0</v>
      </c>
      <c r="AD97" s="140"/>
      <c r="AE97" s="261">
        <f>TblMili[[#This Row],[Hour]]</f>
        <v>94</v>
      </c>
      <c r="AF97" s="141">
        <f ca="1">TblExplore[[#This Row],[Time]]</f>
        <v>45284.874999999774</v>
      </c>
      <c r="AG97" s="182"/>
      <c r="AH97" s="182"/>
      <c r="AI97" s="182"/>
      <c r="AJ97" s="182"/>
      <c r="AK97" s="182"/>
      <c r="AL97" s="182"/>
      <c r="AM97" s="182"/>
      <c r="AN97" s="182"/>
      <c r="AO97" s="145"/>
      <c r="AP97" s="97">
        <f ca="1">TblProd[[#This Row],[Platinum]]</f>
        <v>631076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45284.874999999774</v>
      </c>
      <c r="AV97" s="97">
        <f ca="1">TblMili[[#This Row],[Draftees]]</f>
        <v>776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ROUNDUP(IF(OR(race="Gnome", race="High Elf"),1,(1-MIN(TblMili[[#This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ROUNDUP(IF(OR(race="Gnome", race="High Elf"),1,(1-MIN(TblMili[[#This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ROUNDUP(IF(OR(race="Gnome", race="High Elf"),1,(1-MIN(TblMili[[#This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1240</v>
      </c>
      <c r="BP97" s="97">
        <f ca="1">ROUNDUP(IF(OR(race="Gnome", race="High Elf"),1,(1-MIN(TblMili[[#This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5700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8" s="262">
        <f ca="1">TblMili[[#This Row],[Non Draft]]+TblMili[[#This Row],[Draftees]]</f>
        <v>776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0</v>
      </c>
      <c r="W98" s="262">
        <f ca="1">TblMili[[#This Row],[Draft]] * (1 + TblMili[[#This Row],[Mods_Def]])</f>
        <v>776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776</v>
      </c>
      <c r="AB98" s="157"/>
      <c r="AC98" s="183">
        <f ca="1">(TblConstr[[#This Row],[Tot Smi]]+TblConstr[[#This Row],[Dest Smi]])/(TblConstr[[#This Row],[Land]]-TblExplore[[#This Row],[Land Bonus]]*20)</f>
        <v>0</v>
      </c>
      <c r="AD98" s="140"/>
      <c r="AE98" s="261">
        <f>TblMili[[#This Row],[Hour]]</f>
        <v>95</v>
      </c>
      <c r="AF98" s="141">
        <f ca="1">TblExplore[[#This Row],[Time]]</f>
        <v>45284.916666666439</v>
      </c>
      <c r="AG98" s="182"/>
      <c r="AH98" s="182"/>
      <c r="AI98" s="182"/>
      <c r="AJ98" s="182"/>
      <c r="AK98" s="182"/>
      <c r="AL98" s="182"/>
      <c r="AM98" s="182"/>
      <c r="AN98" s="182"/>
      <c r="AO98" s="145"/>
      <c r="AP98" s="97">
        <f ca="1">TblProd[[#This Row],[Platinum]]</f>
        <v>636562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45284.916666666439</v>
      </c>
      <c r="AV98" s="97">
        <f ca="1">TblMili[[#This Row],[Draftees]]</f>
        <v>776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ROUNDUP(IF(OR(race="Gnome", race="High Elf"),1,(1-MIN(TblMili[[#This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ROUNDUP(IF(OR(race="Gnome", race="High Elf"),1,(1-MIN(TblMili[[#This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ROUNDUP(IF(OR(race="Gnome", race="High Elf"),1,(1-MIN(TblMili[[#This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1240</v>
      </c>
      <c r="BP98" s="97">
        <f ca="1">ROUNDUP(IF(OR(race="Gnome", race="High Elf"),1,(1-MIN(TblMili[[#This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5700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99" s="262">
        <f ca="1">TblMili[[#This Row],[Non Draft]]+TblMili[[#This Row],[Draftees]]</f>
        <v>776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0</v>
      </c>
      <c r="W99" s="262">
        <f ca="1">TblMili[[#This Row],[Draft]] * (1 + TblMili[[#This Row],[Mods_Def]])</f>
        <v>776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776</v>
      </c>
      <c r="AB99" s="157"/>
      <c r="AC99" s="183">
        <f ca="1">(TblConstr[[#This Row],[Tot Smi]]+TblConstr[[#This Row],[Dest Smi]])/(TblConstr[[#This Row],[Land]]-TblExplore[[#This Row],[Land Bonus]]*20)</f>
        <v>0</v>
      </c>
      <c r="AD99" s="140"/>
      <c r="AE99" s="261">
        <f>TblMili[[#This Row],[Hour]]</f>
        <v>96</v>
      </c>
      <c r="AF99" s="141">
        <f ca="1">TblExplore[[#This Row],[Time]]</f>
        <v>45284.958333333103</v>
      </c>
      <c r="AG99" s="182"/>
      <c r="AH99" s="182"/>
      <c r="AI99" s="182"/>
      <c r="AJ99" s="182"/>
      <c r="AK99" s="182"/>
      <c r="AL99" s="182"/>
      <c r="AM99" s="182"/>
      <c r="AN99" s="182"/>
      <c r="AO99" s="145"/>
      <c r="AP99" s="97">
        <f ca="1">TblProd[[#This Row],[Platinum]]</f>
        <v>642048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45284.958333333103</v>
      </c>
      <c r="AV99" s="97">
        <f ca="1">TblMili[[#This Row],[Draftees]]</f>
        <v>776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ROUNDUP(IF(OR(race="Gnome", race="High Elf"),1,(1-MIN(TblMili[[#This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ROUNDUP(IF(OR(race="Gnome", race="High Elf"),1,(1-MIN(TblMili[[#This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ROUNDUP(IF(OR(race="Gnome", race="High Elf"),1,(1-MIN(TblMili[[#This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1240</v>
      </c>
      <c r="BP99" s="97">
        <f ca="1">ROUNDUP(IF(OR(race="Gnome", race="High Elf"),1,(1-MIN(TblMili[[#This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5700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0" s="262">
        <f ca="1">TblMili[[#This Row],[Non Draft]]+TblMili[[#This Row],[Draftees]]</f>
        <v>776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0</v>
      </c>
      <c r="W100" s="262">
        <f ca="1">TblMili[[#This Row],[Draft]] * (1 + TblMili[[#This Row],[Mods_Def]])</f>
        <v>776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776</v>
      </c>
      <c r="AB100" s="157"/>
      <c r="AC100" s="183">
        <f ca="1">(TblConstr[[#This Row],[Tot Smi]]+TblConstr[[#This Row],[Dest Smi]])/(TblConstr[[#This Row],[Land]]-TblExplore[[#This Row],[Land Bonus]]*20)</f>
        <v>0</v>
      </c>
      <c r="AD100" s="140"/>
      <c r="AE100" s="261">
        <f>TblMili[[#This Row],[Hour]]</f>
        <v>97</v>
      </c>
      <c r="AF100" s="141">
        <f ca="1">TblExplore[[#This Row],[Time]]</f>
        <v>45284.999999999767</v>
      </c>
      <c r="AG100" s="182"/>
      <c r="AH100" s="182"/>
      <c r="AI100" s="182"/>
      <c r="AJ100" s="182"/>
      <c r="AK100" s="182"/>
      <c r="AL100" s="182"/>
      <c r="AM100" s="182"/>
      <c r="AN100" s="182"/>
      <c r="AO100" s="145"/>
      <c r="AP100" s="97">
        <f ca="1">TblProd[[#This Row],[Platinum]]</f>
        <v>647534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45284.999999999767</v>
      </c>
      <c r="AV100" s="97">
        <f ca="1">TblMili[[#This Row],[Draftees]]</f>
        <v>776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ROUNDUP(IF(OR(race="Gnome", race="High Elf"),1,(1-MIN(TblMili[[#This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ROUNDUP(IF(OR(race="Gnome", race="High Elf"),1,(1-MIN(TblMili[[#This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ROUNDUP(IF(OR(race="Gnome", race="High Elf"),1,(1-MIN(TblMili[[#This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1240</v>
      </c>
      <c r="BP100" s="97">
        <f ca="1">ROUNDUP(IF(OR(race="Gnome", race="High Elf"),1,(1-MIN(TblMili[[#This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5700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1" s="262">
        <f ca="1">TblMili[[#This Row],[Non Draft]]+TblMili[[#This Row],[Draftees]]</f>
        <v>776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0</v>
      </c>
      <c r="W101" s="262">
        <f ca="1">TblMili[[#This Row],[Draft]] * (1 + TblMili[[#This Row],[Mods_Def]])</f>
        <v>776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776</v>
      </c>
      <c r="AB101" s="157"/>
      <c r="AC101" s="183">
        <f ca="1">(TblConstr[[#This Row],[Tot Smi]]+TblConstr[[#This Row],[Dest Smi]])/(TblConstr[[#This Row],[Land]]-TblExplore[[#This Row],[Land Bonus]]*20)</f>
        <v>0</v>
      </c>
      <c r="AD101" s="140"/>
      <c r="AE101" s="261">
        <f>TblMili[[#This Row],[Hour]]</f>
        <v>98</v>
      </c>
      <c r="AF101" s="141">
        <f ca="1">TblExplore[[#This Row],[Time]]</f>
        <v>45285.041666666431</v>
      </c>
      <c r="AG101" s="182"/>
      <c r="AH101" s="182"/>
      <c r="AI101" s="182"/>
      <c r="AJ101" s="182"/>
      <c r="AK101" s="182"/>
      <c r="AL101" s="182"/>
      <c r="AM101" s="182"/>
      <c r="AN101" s="182"/>
      <c r="AO101" s="145"/>
      <c r="AP101" s="97">
        <f ca="1">TblProd[[#This Row],[Platinum]]</f>
        <v>653020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45285.041666666431</v>
      </c>
      <c r="AV101" s="97">
        <f ca="1">TblMili[[#This Row],[Draftees]]</f>
        <v>776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ROUNDUP(IF(OR(race="Gnome", race="High Elf"),1,(1-MIN(TblMili[[#This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ROUNDUP(IF(OR(race="Gnome", race="High Elf"),1,(1-MIN(TblMili[[#This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ROUNDUP(IF(OR(race="Gnome", race="High Elf"),1,(1-MIN(TblMili[[#This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1240</v>
      </c>
      <c r="BP101" s="97">
        <f ca="1">ROUNDUP(IF(OR(race="Gnome", race="High Elf"),1,(1-MIN(TblMili[[#This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5700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2" s="262">
        <f ca="1">TblMili[[#This Row],[Non Draft]]+TblMili[[#This Row],[Draftees]]</f>
        <v>776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0</v>
      </c>
      <c r="W102" s="262">
        <f ca="1">TblMili[[#This Row],[Draft]] * (1 + TblMili[[#This Row],[Mods_Def]])</f>
        <v>776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776</v>
      </c>
      <c r="AB102" s="157"/>
      <c r="AC102" s="183">
        <f ca="1">(TblConstr[[#This Row],[Tot Smi]]+TblConstr[[#This Row],[Dest Smi]])/(TblConstr[[#This Row],[Land]]-TblExplore[[#This Row],[Land Bonus]]*20)</f>
        <v>0</v>
      </c>
      <c r="AD102" s="140"/>
      <c r="AE102" s="261">
        <f>TblMili[[#This Row],[Hour]]</f>
        <v>99</v>
      </c>
      <c r="AF102" s="141">
        <f ca="1">TblExplore[[#This Row],[Time]]</f>
        <v>45285.083333333096</v>
      </c>
      <c r="AG102" s="182"/>
      <c r="AH102" s="182"/>
      <c r="AI102" s="182"/>
      <c r="AJ102" s="182"/>
      <c r="AK102" s="182"/>
      <c r="AL102" s="182"/>
      <c r="AM102" s="182"/>
      <c r="AN102" s="182"/>
      <c r="AO102" s="145"/>
      <c r="AP102" s="97">
        <f ca="1">TblProd[[#This Row],[Platinum]]</f>
        <v>658506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45285.083333333096</v>
      </c>
      <c r="AV102" s="97">
        <f ca="1">TblMili[[#This Row],[Draftees]]</f>
        <v>776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ROUNDUP(IF(OR(race="Gnome", race="High Elf"),1,(1-MIN(TblMili[[#This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ROUNDUP(IF(OR(race="Gnome", race="High Elf"),1,(1-MIN(TblMili[[#This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ROUNDUP(IF(OR(race="Gnome", race="High Elf"),1,(1-MIN(TblMili[[#This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1240</v>
      </c>
      <c r="BP102" s="97">
        <f ca="1">ROUNDUP(IF(OR(race="Gnome", race="High Elf"),1,(1-MIN(TblMili[[#This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5700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3" s="262">
        <f ca="1">TblMili[[#This Row],[Non Draft]]+TblMili[[#This Row],[Draftees]]</f>
        <v>776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0</v>
      </c>
      <c r="W103" s="262">
        <f ca="1">TblMili[[#This Row],[Draft]] * (1 + TblMili[[#This Row],[Mods_Def]])</f>
        <v>776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776</v>
      </c>
      <c r="AB103" s="157"/>
      <c r="AC103" s="183">
        <f ca="1">(TblConstr[[#This Row],[Tot Smi]]+TblConstr[[#This Row],[Dest Smi]])/(TblConstr[[#This Row],[Land]]-TblExplore[[#This Row],[Land Bonus]]*20)</f>
        <v>0</v>
      </c>
      <c r="AD103" s="140"/>
      <c r="AE103" s="261">
        <f>TblMili[[#This Row],[Hour]]</f>
        <v>100</v>
      </c>
      <c r="AF103" s="141">
        <f ca="1">TblExplore[[#This Row],[Time]]</f>
        <v>45285.12499999976</v>
      </c>
      <c r="AG103" s="182"/>
      <c r="AH103" s="182"/>
      <c r="AI103" s="182"/>
      <c r="AJ103" s="182"/>
      <c r="AK103" s="182"/>
      <c r="AL103" s="182"/>
      <c r="AM103" s="182"/>
      <c r="AN103" s="182"/>
      <c r="AO103" s="145"/>
      <c r="AP103" s="97">
        <f ca="1">TblProd[[#This Row],[Platinum]]</f>
        <v>663992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45285.12499999976</v>
      </c>
      <c r="AV103" s="97">
        <f ca="1">TblMili[[#This Row],[Draftees]]</f>
        <v>776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ROUNDUP(IF(OR(race="Gnome", race="High Elf"),1,(1-MIN(TblMili[[#This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ROUNDUP(IF(OR(race="Gnome", race="High Elf"),1,(1-MIN(TblMili[[#This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ROUNDUP(IF(OR(race="Gnome", race="High Elf"),1,(1-MIN(TblMili[[#This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1240</v>
      </c>
      <c r="BP103" s="97">
        <f ca="1">ROUNDUP(IF(OR(race="Gnome", race="High Elf"),1,(1-MIN(TblMili[[#This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5700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4" s="262">
        <f ca="1">TblMili[[#This Row],[Non Draft]]+TblMili[[#This Row],[Draftees]]</f>
        <v>776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0</v>
      </c>
      <c r="W104" s="262">
        <f ca="1">TblMili[[#This Row],[Draft]] * (1 + TblMili[[#This Row],[Mods_Def]])</f>
        <v>776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776</v>
      </c>
      <c r="AB104" s="157"/>
      <c r="AC104" s="183">
        <f ca="1">(TblConstr[[#This Row],[Tot Smi]]+TblConstr[[#This Row],[Dest Smi]])/(TblConstr[[#This Row],[Land]]-TblExplore[[#This Row],[Land Bonus]]*20)</f>
        <v>0</v>
      </c>
      <c r="AD104" s="140"/>
      <c r="AE104" s="261">
        <f>TblMili[[#This Row],[Hour]]</f>
        <v>101</v>
      </c>
      <c r="AF104" s="141">
        <f ca="1">TblExplore[[#This Row],[Time]]</f>
        <v>45285.166666666424</v>
      </c>
      <c r="AG104" s="182"/>
      <c r="AH104" s="182"/>
      <c r="AI104" s="182"/>
      <c r="AJ104" s="182"/>
      <c r="AK104" s="182"/>
      <c r="AL104" s="182"/>
      <c r="AM104" s="182"/>
      <c r="AN104" s="182"/>
      <c r="AO104" s="145"/>
      <c r="AP104" s="97">
        <f ca="1">TblProd[[#This Row],[Platinum]]</f>
        <v>669478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45285.166666666424</v>
      </c>
      <c r="AV104" s="97">
        <f ca="1">TblMili[[#This Row],[Draftees]]</f>
        <v>776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ROUNDUP(IF(OR(race="Gnome", race="High Elf"),1,(1-MIN(TblMili[[#This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ROUNDUP(IF(OR(race="Gnome", race="High Elf"),1,(1-MIN(TblMili[[#This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ROUNDUP(IF(OR(race="Gnome", race="High Elf"),1,(1-MIN(TblMili[[#This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1240</v>
      </c>
      <c r="BP104" s="97">
        <f ca="1">ROUNDUP(IF(OR(race="Gnome", race="High Elf"),1,(1-MIN(TblMili[[#This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5700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5" s="262">
        <f ca="1">TblMili[[#This Row],[Non Draft]]+TblMili[[#This Row],[Draftees]]</f>
        <v>776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0</v>
      </c>
      <c r="W105" s="262">
        <f ca="1">TblMili[[#This Row],[Draft]] * (1 + TblMili[[#This Row],[Mods_Def]])</f>
        <v>776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776</v>
      </c>
      <c r="AB105" s="157"/>
      <c r="AC105" s="183">
        <f ca="1">(TblConstr[[#This Row],[Tot Smi]]+TblConstr[[#This Row],[Dest Smi]])/(TblConstr[[#This Row],[Land]]-TblExplore[[#This Row],[Land Bonus]]*20)</f>
        <v>0</v>
      </c>
      <c r="AD105" s="140"/>
      <c r="AE105" s="261">
        <f>TblMili[[#This Row],[Hour]]</f>
        <v>102</v>
      </c>
      <c r="AF105" s="141">
        <f ca="1">TblExplore[[#This Row],[Time]]</f>
        <v>45285.208333333088</v>
      </c>
      <c r="AG105" s="182"/>
      <c r="AH105" s="182"/>
      <c r="AI105" s="182"/>
      <c r="AJ105" s="182"/>
      <c r="AK105" s="182"/>
      <c r="AL105" s="182"/>
      <c r="AM105" s="182"/>
      <c r="AN105" s="182"/>
      <c r="AO105" s="145"/>
      <c r="AP105" s="97">
        <f ca="1">TblProd[[#This Row],[Platinum]]</f>
        <v>674964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45285.208333333088</v>
      </c>
      <c r="AV105" s="97">
        <f ca="1">TblMili[[#This Row],[Draftees]]</f>
        <v>776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ROUNDUP(IF(OR(race="Gnome", race="High Elf"),1,(1-MIN(TblMili[[#This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ROUNDUP(IF(OR(race="Gnome", race="High Elf"),1,(1-MIN(TblMili[[#This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ROUNDUP(IF(OR(race="Gnome", race="High Elf"),1,(1-MIN(TblMili[[#This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1240</v>
      </c>
      <c r="BP105" s="97">
        <f ca="1">ROUNDUP(IF(OR(race="Gnome", race="High Elf"),1,(1-MIN(TblMili[[#This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5700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6" s="262">
        <f ca="1">TblMili[[#This Row],[Non Draft]]+TblMili[[#This Row],[Draftees]]</f>
        <v>776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0</v>
      </c>
      <c r="W106" s="262">
        <f ca="1">TblMili[[#This Row],[Draft]] * (1 + TblMili[[#This Row],[Mods_Def]])</f>
        <v>776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776</v>
      </c>
      <c r="AB106" s="157"/>
      <c r="AC106" s="183">
        <f ca="1">(TblConstr[[#This Row],[Tot Smi]]+TblConstr[[#This Row],[Dest Smi]])/(TblConstr[[#This Row],[Land]]-TblExplore[[#This Row],[Land Bonus]]*20)</f>
        <v>0</v>
      </c>
      <c r="AD106" s="140"/>
      <c r="AE106" s="261">
        <f>TblMili[[#This Row],[Hour]]</f>
        <v>103</v>
      </c>
      <c r="AF106" s="141">
        <f ca="1">TblExplore[[#This Row],[Time]]</f>
        <v>45285.249999999753</v>
      </c>
      <c r="AG106" s="182"/>
      <c r="AH106" s="182"/>
      <c r="AI106" s="182"/>
      <c r="AJ106" s="182"/>
      <c r="AK106" s="182"/>
      <c r="AL106" s="182"/>
      <c r="AM106" s="182"/>
      <c r="AN106" s="182"/>
      <c r="AO106" s="145"/>
      <c r="AP106" s="97">
        <f ca="1">TblProd[[#This Row],[Platinum]]</f>
        <v>680450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45285.249999999753</v>
      </c>
      <c r="AV106" s="97">
        <f ca="1">TblMili[[#This Row],[Draftees]]</f>
        <v>776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ROUNDUP(IF(OR(race="Gnome", race="High Elf"),1,(1-MIN(TblMili[[#This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ROUNDUP(IF(OR(race="Gnome", race="High Elf"),1,(1-MIN(TblMili[[#This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ROUNDUP(IF(OR(race="Gnome", race="High Elf"),1,(1-MIN(TblMili[[#This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1240</v>
      </c>
      <c r="BP106" s="97">
        <f ca="1">ROUNDUP(IF(OR(race="Gnome", race="High Elf"),1,(1-MIN(TblMili[[#This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5700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7" s="262">
        <f ca="1">TblMili[[#This Row],[Non Draft]]+TblMili[[#This Row],[Draftees]]</f>
        <v>776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0</v>
      </c>
      <c r="W107" s="262">
        <f ca="1">TblMili[[#This Row],[Draft]] * (1 + TblMili[[#This Row],[Mods_Def]])</f>
        <v>776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776</v>
      </c>
      <c r="AB107" s="157"/>
      <c r="AC107" s="183">
        <f ca="1">(TblConstr[[#This Row],[Tot Smi]]+TblConstr[[#This Row],[Dest Smi]])/(TblConstr[[#This Row],[Land]]-TblExplore[[#This Row],[Land Bonus]]*20)</f>
        <v>0</v>
      </c>
      <c r="AD107" s="140"/>
      <c r="AE107" s="261">
        <f>TblMili[[#This Row],[Hour]]</f>
        <v>104</v>
      </c>
      <c r="AF107" s="141">
        <f ca="1">TblExplore[[#This Row],[Time]]</f>
        <v>45285.291666666417</v>
      </c>
      <c r="AG107" s="182"/>
      <c r="AH107" s="182"/>
      <c r="AI107" s="182"/>
      <c r="AJ107" s="182"/>
      <c r="AK107" s="182"/>
      <c r="AL107" s="182"/>
      <c r="AM107" s="182"/>
      <c r="AN107" s="182"/>
      <c r="AO107" s="145"/>
      <c r="AP107" s="97">
        <f ca="1">TblProd[[#This Row],[Platinum]]</f>
        <v>685936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45285.291666666417</v>
      </c>
      <c r="AV107" s="97">
        <f ca="1">TblMili[[#This Row],[Draftees]]</f>
        <v>776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ROUNDUP(IF(OR(race="Gnome", race="High Elf"),1,(1-MIN(TblMili[[#This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ROUNDUP(IF(OR(race="Gnome", race="High Elf"),1,(1-MIN(TblMili[[#This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ROUNDUP(IF(OR(race="Gnome", race="High Elf"),1,(1-MIN(TblMili[[#This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1240</v>
      </c>
      <c r="BP107" s="97">
        <f ca="1">ROUNDUP(IF(OR(race="Gnome", race="High Elf"),1,(1-MIN(TblMili[[#This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5700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8" s="262">
        <f ca="1">TblMili[[#This Row],[Non Draft]]+TblMili[[#This Row],[Draftees]]</f>
        <v>776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0</v>
      </c>
      <c r="W108" s="262">
        <f ca="1">TblMili[[#This Row],[Draft]] * (1 + TblMili[[#This Row],[Mods_Def]])</f>
        <v>776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776</v>
      </c>
      <c r="AB108" s="157"/>
      <c r="AC108" s="183">
        <f ca="1">(TblConstr[[#This Row],[Tot Smi]]+TblConstr[[#This Row],[Dest Smi]])/(TblConstr[[#This Row],[Land]]-TblExplore[[#This Row],[Land Bonus]]*20)</f>
        <v>0</v>
      </c>
      <c r="AD108" s="140"/>
      <c r="AE108" s="261">
        <f>TblMili[[#This Row],[Hour]]</f>
        <v>105</v>
      </c>
      <c r="AF108" s="141">
        <f ca="1">TblExplore[[#This Row],[Time]]</f>
        <v>45285.333333333081</v>
      </c>
      <c r="AG108" s="182"/>
      <c r="AH108" s="182"/>
      <c r="AI108" s="182"/>
      <c r="AJ108" s="182"/>
      <c r="AK108" s="182"/>
      <c r="AL108" s="182"/>
      <c r="AM108" s="182"/>
      <c r="AN108" s="182"/>
      <c r="AO108" s="145"/>
      <c r="AP108" s="97">
        <f ca="1">TblProd[[#This Row],[Platinum]]</f>
        <v>691422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45285.333333333081</v>
      </c>
      <c r="AV108" s="97">
        <f ca="1">TblMili[[#This Row],[Draftees]]</f>
        <v>776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ROUNDUP(IF(OR(race="Gnome", race="High Elf"),1,(1-MIN(TblMili[[#This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ROUNDUP(IF(OR(race="Gnome", race="High Elf"),1,(1-MIN(TblMili[[#This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ROUNDUP(IF(OR(race="Gnome", race="High Elf"),1,(1-MIN(TblMili[[#This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1240</v>
      </c>
      <c r="BP108" s="97">
        <f ca="1">ROUNDUP(IF(OR(race="Gnome", race="High Elf"),1,(1-MIN(TblMili[[#This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5700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09" s="262">
        <f ca="1">TblMili[[#This Row],[Non Draft]]+TblMili[[#This Row],[Draftees]]</f>
        <v>776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0</v>
      </c>
      <c r="W109" s="262">
        <f ca="1">TblMili[[#This Row],[Draft]] * (1 + TblMili[[#This Row],[Mods_Def]])</f>
        <v>776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776</v>
      </c>
      <c r="AB109" s="157"/>
      <c r="AC109" s="183">
        <f ca="1">(TblConstr[[#This Row],[Tot Smi]]+TblConstr[[#This Row],[Dest Smi]])/(TblConstr[[#This Row],[Land]]-TblExplore[[#This Row],[Land Bonus]]*20)</f>
        <v>0</v>
      </c>
      <c r="AD109" s="140"/>
      <c r="AE109" s="261">
        <f>TblMili[[#This Row],[Hour]]</f>
        <v>106</v>
      </c>
      <c r="AF109" s="141">
        <f ca="1">TblExplore[[#This Row],[Time]]</f>
        <v>45285.374999999745</v>
      </c>
      <c r="AG109" s="182"/>
      <c r="AH109" s="182"/>
      <c r="AI109" s="182"/>
      <c r="AJ109" s="182"/>
      <c r="AK109" s="182"/>
      <c r="AL109" s="182"/>
      <c r="AM109" s="182"/>
      <c r="AN109" s="182"/>
      <c r="AO109" s="145"/>
      <c r="AP109" s="97">
        <f ca="1">TblProd[[#This Row],[Platinum]]</f>
        <v>696908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45285.374999999745</v>
      </c>
      <c r="AV109" s="97">
        <f ca="1">TblMili[[#This Row],[Draftees]]</f>
        <v>776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ROUNDUP(IF(OR(race="Gnome", race="High Elf"),1,(1-MIN(TblMili[[#This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ROUNDUP(IF(OR(race="Gnome", race="High Elf"),1,(1-MIN(TblMili[[#This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ROUNDUP(IF(OR(race="Gnome", race="High Elf"),1,(1-MIN(TblMili[[#This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1240</v>
      </c>
      <c r="BP109" s="97">
        <f ca="1">ROUNDUP(IF(OR(race="Gnome", race="High Elf"),1,(1-MIN(TblMili[[#This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5700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0" s="262">
        <f ca="1">TblMili[[#This Row],[Non Draft]]+TblMili[[#This Row],[Draftees]]</f>
        <v>776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0</v>
      </c>
      <c r="W110" s="262">
        <f ca="1">TblMili[[#This Row],[Draft]] * (1 + TblMili[[#This Row],[Mods_Def]])</f>
        <v>776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776</v>
      </c>
      <c r="AB110" s="157"/>
      <c r="AC110" s="183">
        <f ca="1">(TblConstr[[#This Row],[Tot Smi]]+TblConstr[[#This Row],[Dest Smi]])/(TblConstr[[#This Row],[Land]]-TblExplore[[#This Row],[Land Bonus]]*20)</f>
        <v>0</v>
      </c>
      <c r="AD110" s="140"/>
      <c r="AE110" s="261">
        <f>TblMili[[#This Row],[Hour]]</f>
        <v>107</v>
      </c>
      <c r="AF110" s="141">
        <f ca="1">TblExplore[[#This Row],[Time]]</f>
        <v>45285.41666666641</v>
      </c>
      <c r="AG110" s="182"/>
      <c r="AH110" s="182"/>
      <c r="AI110" s="182"/>
      <c r="AJ110" s="182"/>
      <c r="AK110" s="182"/>
      <c r="AL110" s="182"/>
      <c r="AM110" s="182"/>
      <c r="AN110" s="182"/>
      <c r="AO110" s="145"/>
      <c r="AP110" s="97">
        <f ca="1">TblProd[[#This Row],[Platinum]]</f>
        <v>702394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45285.41666666641</v>
      </c>
      <c r="AV110" s="97">
        <f ca="1">TblMili[[#This Row],[Draftees]]</f>
        <v>776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ROUNDUP(IF(OR(race="Gnome", race="High Elf"),1,(1-MIN(TblMili[[#This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ROUNDUP(IF(OR(race="Gnome", race="High Elf"),1,(1-MIN(TblMili[[#This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ROUNDUP(IF(OR(race="Gnome", race="High Elf"),1,(1-MIN(TblMili[[#This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1240</v>
      </c>
      <c r="BP110" s="97">
        <f ca="1">ROUNDUP(IF(OR(race="Gnome", race="High Elf"),1,(1-MIN(TblMili[[#This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5700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1" s="262">
        <f ca="1">TblMili[[#This Row],[Non Draft]]+TblMili[[#This Row],[Draftees]]</f>
        <v>776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0</v>
      </c>
      <c r="W111" s="262">
        <f ca="1">TblMili[[#This Row],[Draft]] * (1 + TblMili[[#This Row],[Mods_Def]])</f>
        <v>776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776</v>
      </c>
      <c r="AB111" s="157"/>
      <c r="AC111" s="183">
        <f ca="1">(TblConstr[[#This Row],[Tot Smi]]+TblConstr[[#This Row],[Dest Smi]])/(TblConstr[[#This Row],[Land]]-TblExplore[[#This Row],[Land Bonus]]*20)</f>
        <v>0</v>
      </c>
      <c r="AD111" s="140"/>
      <c r="AE111" s="261">
        <f>TblMili[[#This Row],[Hour]]</f>
        <v>108</v>
      </c>
      <c r="AF111" s="141">
        <f ca="1">TblExplore[[#This Row],[Time]]</f>
        <v>45285.458333333074</v>
      </c>
      <c r="AG111" s="182"/>
      <c r="AH111" s="182"/>
      <c r="AI111" s="182"/>
      <c r="AJ111" s="182"/>
      <c r="AK111" s="182"/>
      <c r="AL111" s="182"/>
      <c r="AM111" s="182"/>
      <c r="AN111" s="182"/>
      <c r="AO111" s="145"/>
      <c r="AP111" s="97">
        <f ca="1">TblProd[[#This Row],[Platinum]]</f>
        <v>707880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45285.458333333074</v>
      </c>
      <c r="AV111" s="97">
        <f ca="1">TblMili[[#This Row],[Draftees]]</f>
        <v>776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ROUNDUP(IF(OR(race="Gnome", race="High Elf"),1,(1-MIN(TblMili[[#This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ROUNDUP(IF(OR(race="Gnome", race="High Elf"),1,(1-MIN(TblMili[[#This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ROUNDUP(IF(OR(race="Gnome", race="High Elf"),1,(1-MIN(TblMili[[#This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1240</v>
      </c>
      <c r="BP111" s="97">
        <f ca="1">ROUNDUP(IF(OR(race="Gnome", race="High Elf"),1,(1-MIN(TblMili[[#This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5700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2" s="262">
        <f ca="1">TblMili[[#This Row],[Non Draft]]+TblMili[[#This Row],[Draftees]]</f>
        <v>776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0</v>
      </c>
      <c r="W112" s="262">
        <f ca="1">TblMili[[#This Row],[Draft]] * (1 + TblMili[[#This Row],[Mods_Def]])</f>
        <v>776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776</v>
      </c>
      <c r="AB112" s="157"/>
      <c r="AC112" s="183">
        <f ca="1">(TblConstr[[#This Row],[Tot Smi]]+TblConstr[[#This Row],[Dest Smi]])/(TblConstr[[#This Row],[Land]]-TblExplore[[#This Row],[Land Bonus]]*20)</f>
        <v>0</v>
      </c>
      <c r="AD112" s="140"/>
      <c r="AE112" s="261">
        <f>TblMili[[#This Row],[Hour]]</f>
        <v>109</v>
      </c>
      <c r="AF112" s="141">
        <f ca="1">TblExplore[[#This Row],[Time]]</f>
        <v>45285.499999999738</v>
      </c>
      <c r="AG112" s="182"/>
      <c r="AH112" s="182"/>
      <c r="AI112" s="182"/>
      <c r="AJ112" s="182"/>
      <c r="AK112" s="182"/>
      <c r="AL112" s="182"/>
      <c r="AM112" s="182"/>
      <c r="AN112" s="182"/>
      <c r="AO112" s="145"/>
      <c r="AP112" s="97">
        <f ca="1">TblProd[[#This Row],[Platinum]]</f>
        <v>713366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45285.499999999738</v>
      </c>
      <c r="AV112" s="97">
        <f ca="1">TblMili[[#This Row],[Draftees]]</f>
        <v>776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ROUNDUP(IF(OR(race="Gnome", race="High Elf"),1,(1-MIN(TblMili[[#This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ROUNDUP(IF(OR(race="Gnome", race="High Elf"),1,(1-MIN(TblMili[[#This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ROUNDUP(IF(OR(race="Gnome", race="High Elf"),1,(1-MIN(TblMili[[#This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1240</v>
      </c>
      <c r="BP112" s="97">
        <f ca="1">ROUNDUP(IF(OR(race="Gnome", race="High Elf"),1,(1-MIN(TblMili[[#This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5700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3" s="262">
        <f ca="1">TblMili[[#This Row],[Non Draft]]+TblMili[[#This Row],[Draftees]]</f>
        <v>776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0</v>
      </c>
      <c r="W113" s="262">
        <f ca="1">TblMili[[#This Row],[Draft]] * (1 + TblMili[[#This Row],[Mods_Def]])</f>
        <v>776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776</v>
      </c>
      <c r="AB113" s="157"/>
      <c r="AC113" s="183">
        <f ca="1">(TblConstr[[#This Row],[Tot Smi]]+TblConstr[[#This Row],[Dest Smi]])/(TblConstr[[#This Row],[Land]]-TblExplore[[#This Row],[Land Bonus]]*20)</f>
        <v>0</v>
      </c>
      <c r="AD113" s="140"/>
      <c r="AE113" s="261">
        <f>TblMili[[#This Row],[Hour]]</f>
        <v>110</v>
      </c>
      <c r="AF113" s="141">
        <f ca="1">TblExplore[[#This Row],[Time]]</f>
        <v>45285.541666666402</v>
      </c>
      <c r="AG113" s="182"/>
      <c r="AH113" s="182"/>
      <c r="AI113" s="182"/>
      <c r="AJ113" s="182"/>
      <c r="AK113" s="182"/>
      <c r="AL113" s="182"/>
      <c r="AM113" s="182"/>
      <c r="AN113" s="182"/>
      <c r="AO113" s="145"/>
      <c r="AP113" s="97">
        <f ca="1">TblProd[[#This Row],[Platinum]]</f>
        <v>718852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45285.541666666402</v>
      </c>
      <c r="AV113" s="97">
        <f ca="1">TblMili[[#This Row],[Draftees]]</f>
        <v>776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ROUNDUP(IF(OR(race="Gnome", race="High Elf"),1,(1-MIN(TblMili[[#This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ROUNDUP(IF(OR(race="Gnome", race="High Elf"),1,(1-MIN(TblMili[[#This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ROUNDUP(IF(OR(race="Gnome", race="High Elf"),1,(1-MIN(TblMili[[#This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1240</v>
      </c>
      <c r="BP113" s="97">
        <f ca="1">ROUNDUP(IF(OR(race="Gnome", race="High Elf"),1,(1-MIN(TblMili[[#This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5700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4" s="262">
        <f ca="1">TblMili[[#This Row],[Non Draft]]+TblMili[[#This Row],[Draftees]]</f>
        <v>776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0</v>
      </c>
      <c r="W114" s="262">
        <f ca="1">TblMili[[#This Row],[Draft]] * (1 + TblMili[[#This Row],[Mods_Def]])</f>
        <v>776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776</v>
      </c>
      <c r="AB114" s="157"/>
      <c r="AC114" s="183">
        <f ca="1">(TblConstr[[#This Row],[Tot Smi]]+TblConstr[[#This Row],[Dest Smi]])/(TblConstr[[#This Row],[Land]]-TblExplore[[#This Row],[Land Bonus]]*20)</f>
        <v>0</v>
      </c>
      <c r="AD114" s="140"/>
      <c r="AE114" s="261">
        <f>TblMili[[#This Row],[Hour]]</f>
        <v>111</v>
      </c>
      <c r="AF114" s="141">
        <f ca="1">TblExplore[[#This Row],[Time]]</f>
        <v>45285.583333333067</v>
      </c>
      <c r="AG114" s="182"/>
      <c r="AH114" s="182"/>
      <c r="AI114" s="182"/>
      <c r="AJ114" s="182"/>
      <c r="AK114" s="182"/>
      <c r="AL114" s="182"/>
      <c r="AM114" s="182"/>
      <c r="AN114" s="182"/>
      <c r="AO114" s="145"/>
      <c r="AP114" s="97">
        <f ca="1">TblProd[[#This Row],[Platinum]]</f>
        <v>724338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45285.583333333067</v>
      </c>
      <c r="AV114" s="97">
        <f ca="1">TblMili[[#This Row],[Draftees]]</f>
        <v>776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ROUNDUP(IF(OR(race="Gnome", race="High Elf"),1,(1-MIN(TblMili[[#This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ROUNDUP(IF(OR(race="Gnome", race="High Elf"),1,(1-MIN(TblMili[[#This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ROUNDUP(IF(OR(race="Gnome", race="High Elf"),1,(1-MIN(TblMili[[#This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1240</v>
      </c>
      <c r="BP114" s="97">
        <f ca="1">ROUNDUP(IF(OR(race="Gnome", race="High Elf"),1,(1-MIN(TblMili[[#This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5700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5" s="262">
        <f ca="1">TblMili[[#This Row],[Non Draft]]+TblMili[[#This Row],[Draftees]]</f>
        <v>776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0</v>
      </c>
      <c r="W115" s="262">
        <f ca="1">TblMili[[#This Row],[Draft]] * (1 + TblMili[[#This Row],[Mods_Def]])</f>
        <v>776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776</v>
      </c>
      <c r="AB115" s="157"/>
      <c r="AC115" s="183">
        <f ca="1">(TblConstr[[#This Row],[Tot Smi]]+TblConstr[[#This Row],[Dest Smi]])/(TblConstr[[#This Row],[Land]]-TblExplore[[#This Row],[Land Bonus]]*20)</f>
        <v>0</v>
      </c>
      <c r="AD115" s="140"/>
      <c r="AE115" s="261">
        <f>TblMili[[#This Row],[Hour]]</f>
        <v>112</v>
      </c>
      <c r="AF115" s="141">
        <f ca="1">TblExplore[[#This Row],[Time]]</f>
        <v>45285.624999999731</v>
      </c>
      <c r="AG115" s="182"/>
      <c r="AH115" s="182"/>
      <c r="AI115" s="182"/>
      <c r="AJ115" s="182"/>
      <c r="AK115" s="182"/>
      <c r="AL115" s="182"/>
      <c r="AM115" s="182"/>
      <c r="AN115" s="182"/>
      <c r="AO115" s="145"/>
      <c r="AP115" s="97">
        <f ca="1">TblProd[[#This Row],[Platinum]]</f>
        <v>729824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45285.624999999731</v>
      </c>
      <c r="AV115" s="97">
        <f ca="1">TblMili[[#This Row],[Draftees]]</f>
        <v>776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ROUNDUP(IF(OR(race="Gnome", race="High Elf"),1,(1-MIN(TblMili[[#This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ROUNDUP(IF(OR(race="Gnome", race="High Elf"),1,(1-MIN(TblMili[[#This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ROUNDUP(IF(OR(race="Gnome", race="High Elf"),1,(1-MIN(TblMili[[#This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1240</v>
      </c>
      <c r="BP115" s="97">
        <f ca="1">ROUNDUP(IF(OR(race="Gnome", race="High Elf"),1,(1-MIN(TblMili[[#This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5700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6" s="262">
        <f ca="1">TblMili[[#This Row],[Non Draft]]+TblMili[[#This Row],[Draftees]]</f>
        <v>776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0</v>
      </c>
      <c r="W116" s="262">
        <f ca="1">TblMili[[#This Row],[Draft]] * (1 + TblMili[[#This Row],[Mods_Def]])</f>
        <v>776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776</v>
      </c>
      <c r="AB116" s="157"/>
      <c r="AC116" s="183">
        <f ca="1">(TblConstr[[#This Row],[Tot Smi]]+TblConstr[[#This Row],[Dest Smi]])/(TblConstr[[#This Row],[Land]]-TblExplore[[#This Row],[Land Bonus]]*20)</f>
        <v>0</v>
      </c>
      <c r="AD116" s="140"/>
      <c r="AE116" s="261">
        <f>TblMili[[#This Row],[Hour]]</f>
        <v>113</v>
      </c>
      <c r="AF116" s="141">
        <f ca="1">TblExplore[[#This Row],[Time]]</f>
        <v>45285.666666666395</v>
      </c>
      <c r="AG116" s="182"/>
      <c r="AH116" s="182"/>
      <c r="AI116" s="182"/>
      <c r="AJ116" s="182"/>
      <c r="AK116" s="182"/>
      <c r="AL116" s="182"/>
      <c r="AM116" s="182"/>
      <c r="AN116" s="182"/>
      <c r="AO116" s="145"/>
      <c r="AP116" s="97">
        <f ca="1">TblProd[[#This Row],[Platinum]]</f>
        <v>735310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45285.666666666395</v>
      </c>
      <c r="AV116" s="97">
        <f ca="1">TblMili[[#This Row],[Draftees]]</f>
        <v>776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ROUNDUP(IF(OR(race="Gnome", race="High Elf"),1,(1-MIN(TblMili[[#This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ROUNDUP(IF(OR(race="Gnome", race="High Elf"),1,(1-MIN(TblMili[[#This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ROUNDUP(IF(OR(race="Gnome", race="High Elf"),1,(1-MIN(TblMili[[#This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1240</v>
      </c>
      <c r="BP116" s="97">
        <f ca="1">ROUNDUP(IF(OR(race="Gnome", race="High Elf"),1,(1-MIN(TblMili[[#This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5700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7" s="262">
        <f ca="1">TblMili[[#This Row],[Non Draft]]+TblMili[[#This Row],[Draftees]]</f>
        <v>776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0</v>
      </c>
      <c r="W117" s="262">
        <f ca="1">TblMili[[#This Row],[Draft]] * (1 + TblMili[[#This Row],[Mods_Def]])</f>
        <v>776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776</v>
      </c>
      <c r="AB117" s="157"/>
      <c r="AC117" s="183">
        <f ca="1">(TblConstr[[#This Row],[Tot Smi]]+TblConstr[[#This Row],[Dest Smi]])/(TblConstr[[#This Row],[Land]]-TblExplore[[#This Row],[Land Bonus]]*20)</f>
        <v>0</v>
      </c>
      <c r="AD117" s="140"/>
      <c r="AE117" s="261">
        <f>TblMili[[#This Row],[Hour]]</f>
        <v>114</v>
      </c>
      <c r="AF117" s="141">
        <f ca="1">TblExplore[[#This Row],[Time]]</f>
        <v>45285.708333333059</v>
      </c>
      <c r="AG117" s="182"/>
      <c r="AH117" s="182"/>
      <c r="AI117" s="182"/>
      <c r="AJ117" s="182"/>
      <c r="AK117" s="182"/>
      <c r="AL117" s="182"/>
      <c r="AM117" s="182"/>
      <c r="AN117" s="182"/>
      <c r="AO117" s="145"/>
      <c r="AP117" s="97">
        <f ca="1">TblProd[[#This Row],[Platinum]]</f>
        <v>740796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45285.708333333059</v>
      </c>
      <c r="AV117" s="97">
        <f ca="1">TblMili[[#This Row],[Draftees]]</f>
        <v>776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ROUNDUP(IF(OR(race="Gnome", race="High Elf"),1,(1-MIN(TblMili[[#This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ROUNDUP(IF(OR(race="Gnome", race="High Elf"),1,(1-MIN(TblMili[[#This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ROUNDUP(IF(OR(race="Gnome", race="High Elf"),1,(1-MIN(TblMili[[#This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1240</v>
      </c>
      <c r="BP117" s="97">
        <f ca="1">ROUNDUP(IF(OR(race="Gnome", race="High Elf"),1,(1-MIN(TblMili[[#This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5700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8" s="262">
        <f ca="1">TblMili[[#This Row],[Non Draft]]+TblMili[[#This Row],[Draftees]]</f>
        <v>776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0</v>
      </c>
      <c r="W118" s="262">
        <f ca="1">TblMili[[#This Row],[Draft]] * (1 + TblMili[[#This Row],[Mods_Def]])</f>
        <v>776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776</v>
      </c>
      <c r="AB118" s="157"/>
      <c r="AC118" s="183">
        <f ca="1">(TblConstr[[#This Row],[Tot Smi]]+TblConstr[[#This Row],[Dest Smi]])/(TblConstr[[#This Row],[Land]]-TblExplore[[#This Row],[Land Bonus]]*20)</f>
        <v>0</v>
      </c>
      <c r="AD118" s="140"/>
      <c r="AE118" s="261">
        <f>TblMili[[#This Row],[Hour]]</f>
        <v>115</v>
      </c>
      <c r="AF118" s="141">
        <f ca="1">TblExplore[[#This Row],[Time]]</f>
        <v>45285.749999999724</v>
      </c>
      <c r="AG118" s="182"/>
      <c r="AH118" s="182"/>
      <c r="AI118" s="182"/>
      <c r="AJ118" s="182"/>
      <c r="AK118" s="182"/>
      <c r="AL118" s="182"/>
      <c r="AM118" s="182"/>
      <c r="AN118" s="182"/>
      <c r="AO118" s="145"/>
      <c r="AP118" s="97">
        <f ca="1">TblProd[[#This Row],[Platinum]]</f>
        <v>746282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45285.749999999724</v>
      </c>
      <c r="AV118" s="97">
        <f ca="1">TblMili[[#This Row],[Draftees]]</f>
        <v>776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ROUNDUP(IF(OR(race="Gnome", race="High Elf"),1,(1-MIN(TblMili[[#This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ROUNDUP(IF(OR(race="Gnome", race="High Elf"),1,(1-MIN(TblMili[[#This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ROUNDUP(IF(OR(race="Gnome", race="High Elf"),1,(1-MIN(TblMili[[#This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1240</v>
      </c>
      <c r="BP118" s="97">
        <f ca="1">ROUNDUP(IF(OR(race="Gnome", race="High Elf"),1,(1-MIN(TblMili[[#This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5700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19" s="262">
        <f ca="1">TblMili[[#This Row],[Non Draft]]+TblMili[[#This Row],[Draftees]]</f>
        <v>776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0</v>
      </c>
      <c r="W119" s="262">
        <f ca="1">TblMili[[#This Row],[Draft]] * (1 + TblMili[[#This Row],[Mods_Def]])</f>
        <v>776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776</v>
      </c>
      <c r="AB119" s="157"/>
      <c r="AC119" s="183">
        <f ca="1">(TblConstr[[#This Row],[Tot Smi]]+TblConstr[[#This Row],[Dest Smi]])/(TblConstr[[#This Row],[Land]]-TblExplore[[#This Row],[Land Bonus]]*20)</f>
        <v>0</v>
      </c>
      <c r="AD119" s="140"/>
      <c r="AE119" s="261">
        <f>TblMili[[#This Row],[Hour]]</f>
        <v>116</v>
      </c>
      <c r="AF119" s="141">
        <f ca="1">TblExplore[[#This Row],[Time]]</f>
        <v>45285.791666666388</v>
      </c>
      <c r="AG119" s="182"/>
      <c r="AH119" s="182"/>
      <c r="AI119" s="182"/>
      <c r="AJ119" s="182"/>
      <c r="AK119" s="182"/>
      <c r="AL119" s="182"/>
      <c r="AM119" s="182"/>
      <c r="AN119" s="182"/>
      <c r="AO119" s="145"/>
      <c r="AP119" s="97">
        <f ca="1">TblProd[[#This Row],[Platinum]]</f>
        <v>751768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45285.791666666388</v>
      </c>
      <c r="AV119" s="97">
        <f ca="1">TblMili[[#This Row],[Draftees]]</f>
        <v>776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ROUNDUP(IF(OR(race="Gnome", race="High Elf"),1,(1-MIN(TblMili[[#This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ROUNDUP(IF(OR(race="Gnome", race="High Elf"),1,(1-MIN(TblMili[[#This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ROUNDUP(IF(OR(race="Gnome", race="High Elf"),1,(1-MIN(TblMili[[#This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1240</v>
      </c>
      <c r="BP119" s="97">
        <f ca="1">ROUNDUP(IF(OR(race="Gnome", race="High Elf"),1,(1-MIN(TblMili[[#This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5700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0" s="262">
        <f ca="1">TblMili[[#This Row],[Non Draft]]+TblMili[[#This Row],[Draftees]]</f>
        <v>776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0</v>
      </c>
      <c r="W120" s="262">
        <f ca="1">TblMili[[#This Row],[Draft]] * (1 + TblMili[[#This Row],[Mods_Def]])</f>
        <v>776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776</v>
      </c>
      <c r="AB120" s="157"/>
      <c r="AC120" s="183">
        <f ca="1">(TblConstr[[#This Row],[Tot Smi]]+TblConstr[[#This Row],[Dest Smi]])/(TblConstr[[#This Row],[Land]]-TblExplore[[#This Row],[Land Bonus]]*20)</f>
        <v>0</v>
      </c>
      <c r="AD120" s="140"/>
      <c r="AE120" s="261">
        <f>TblMili[[#This Row],[Hour]]</f>
        <v>117</v>
      </c>
      <c r="AF120" s="141">
        <f ca="1">TblExplore[[#This Row],[Time]]</f>
        <v>45285.833333333052</v>
      </c>
      <c r="AG120" s="182"/>
      <c r="AH120" s="182"/>
      <c r="AI120" s="182"/>
      <c r="AJ120" s="182"/>
      <c r="AK120" s="182"/>
      <c r="AL120" s="182"/>
      <c r="AM120" s="182"/>
      <c r="AN120" s="182"/>
      <c r="AO120" s="145"/>
      <c r="AP120" s="97">
        <f ca="1">TblProd[[#This Row],[Platinum]]</f>
        <v>757254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45285.833333333052</v>
      </c>
      <c r="AV120" s="97">
        <f ca="1">TblMili[[#This Row],[Draftees]]</f>
        <v>776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ROUNDUP(IF(OR(race="Gnome", race="High Elf"),1,(1-MIN(TblMili[[#This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ROUNDUP(IF(OR(race="Gnome", race="High Elf"),1,(1-MIN(TblMili[[#This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ROUNDUP(IF(OR(race="Gnome", race="High Elf"),1,(1-MIN(TblMili[[#This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1240</v>
      </c>
      <c r="BP120" s="97">
        <f ca="1">ROUNDUP(IF(OR(race="Gnome", race="High Elf"),1,(1-MIN(TblMili[[#This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5700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1" s="262">
        <f ca="1">TblMili[[#This Row],[Non Draft]]+TblMili[[#This Row],[Draftees]]</f>
        <v>776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0</v>
      </c>
      <c r="W121" s="262">
        <f ca="1">TblMili[[#This Row],[Draft]] * (1 + TblMili[[#This Row],[Mods_Def]])</f>
        <v>776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776</v>
      </c>
      <c r="AB121" s="157"/>
      <c r="AC121" s="183">
        <f ca="1">(TblConstr[[#This Row],[Tot Smi]]+TblConstr[[#This Row],[Dest Smi]])/(TblConstr[[#This Row],[Land]]-TblExplore[[#This Row],[Land Bonus]]*20)</f>
        <v>0</v>
      </c>
      <c r="AD121" s="140"/>
      <c r="AE121" s="261">
        <f>TblMili[[#This Row],[Hour]]</f>
        <v>118</v>
      </c>
      <c r="AF121" s="141">
        <f ca="1">TblExplore[[#This Row],[Time]]</f>
        <v>45285.874999999716</v>
      </c>
      <c r="AG121" s="182"/>
      <c r="AH121" s="182"/>
      <c r="AI121" s="182"/>
      <c r="AJ121" s="182"/>
      <c r="AK121" s="182"/>
      <c r="AL121" s="182"/>
      <c r="AM121" s="182"/>
      <c r="AN121" s="182"/>
      <c r="AO121" s="145"/>
      <c r="AP121" s="97">
        <f ca="1">TblProd[[#This Row],[Platinum]]</f>
        <v>762740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45285.874999999716</v>
      </c>
      <c r="AV121" s="97">
        <f ca="1">TblMili[[#This Row],[Draftees]]</f>
        <v>776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ROUNDUP(IF(OR(race="Gnome", race="High Elf"),1,(1-MIN(TblMili[[#This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ROUNDUP(IF(OR(race="Gnome", race="High Elf"),1,(1-MIN(TblMili[[#This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ROUNDUP(IF(OR(race="Gnome", race="High Elf"),1,(1-MIN(TblMili[[#This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1240</v>
      </c>
      <c r="BP121" s="97">
        <f ca="1">ROUNDUP(IF(OR(race="Gnome", race="High Elf"),1,(1-MIN(TblMili[[#This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5700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2" s="262">
        <f ca="1">TblMili[[#This Row],[Non Draft]]+TblMili[[#This Row],[Draftees]]</f>
        <v>776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0</v>
      </c>
      <c r="W122" s="262">
        <f ca="1">TblMili[[#This Row],[Draft]] * (1 + TblMili[[#This Row],[Mods_Def]])</f>
        <v>776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776</v>
      </c>
      <c r="AB122" s="157"/>
      <c r="AC122" s="183">
        <f ca="1">(TblConstr[[#This Row],[Tot Smi]]+TblConstr[[#This Row],[Dest Smi]])/(TblConstr[[#This Row],[Land]]-TblExplore[[#This Row],[Land Bonus]]*20)</f>
        <v>0</v>
      </c>
      <c r="AD122" s="140"/>
      <c r="AE122" s="261">
        <f>TblMili[[#This Row],[Hour]]</f>
        <v>119</v>
      </c>
      <c r="AF122" s="141">
        <f ca="1">TblExplore[[#This Row],[Time]]</f>
        <v>45285.91666666638</v>
      </c>
      <c r="AG122" s="182"/>
      <c r="AH122" s="182"/>
      <c r="AI122" s="182"/>
      <c r="AJ122" s="182"/>
      <c r="AK122" s="182"/>
      <c r="AL122" s="182"/>
      <c r="AM122" s="182"/>
      <c r="AN122" s="182"/>
      <c r="AO122" s="145"/>
      <c r="AP122" s="97">
        <f ca="1">TblProd[[#This Row],[Platinum]]</f>
        <v>768226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45285.91666666638</v>
      </c>
      <c r="AV122" s="97">
        <f ca="1">TblMili[[#This Row],[Draftees]]</f>
        <v>776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ROUNDUP(IF(OR(race="Gnome", race="High Elf"),1,(1-MIN(TblMili[[#This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ROUNDUP(IF(OR(race="Gnome", race="High Elf"),1,(1-MIN(TblMili[[#This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ROUNDUP(IF(OR(race="Gnome", race="High Elf"),1,(1-MIN(TblMili[[#This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1240</v>
      </c>
      <c r="BP122" s="97">
        <f ca="1">ROUNDUP(IF(OR(race="Gnome", race="High Elf"),1,(1-MIN(TblMili[[#This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5700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3" s="262">
        <f ca="1">TblMili[[#This Row],[Non Draft]]+TblMili[[#This Row],[Draftees]]</f>
        <v>776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0</v>
      </c>
      <c r="W123" s="262">
        <f ca="1">TblMili[[#This Row],[Draft]] * (1 + TblMili[[#This Row],[Mods_Def]])</f>
        <v>776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776</v>
      </c>
      <c r="AB123" s="157"/>
      <c r="AC123" s="183">
        <f ca="1">(TblConstr[[#This Row],[Tot Smi]]+TblConstr[[#This Row],[Dest Smi]])/(TblConstr[[#This Row],[Land]]-TblExplore[[#This Row],[Land Bonus]]*20)</f>
        <v>0</v>
      </c>
      <c r="AD123" s="140"/>
      <c r="AE123" s="261">
        <f>TblMili[[#This Row],[Hour]]</f>
        <v>120</v>
      </c>
      <c r="AF123" s="141">
        <f ca="1">TblExplore[[#This Row],[Time]]</f>
        <v>45285.958333333045</v>
      </c>
      <c r="AG123" s="182"/>
      <c r="AH123" s="182"/>
      <c r="AI123" s="182"/>
      <c r="AJ123" s="182"/>
      <c r="AK123" s="182"/>
      <c r="AL123" s="182"/>
      <c r="AM123" s="182"/>
      <c r="AN123" s="182"/>
      <c r="AO123" s="145"/>
      <c r="AP123" s="97">
        <f ca="1">TblProd[[#This Row],[Platinum]]</f>
        <v>773712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45285.958333333045</v>
      </c>
      <c r="AV123" s="97">
        <f ca="1">TblMili[[#This Row],[Draftees]]</f>
        <v>776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ROUNDUP(IF(OR(race="Gnome", race="High Elf"),1,(1-MIN(TblMili[[#This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ROUNDUP(IF(OR(race="Gnome", race="High Elf"),1,(1-MIN(TblMili[[#This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ROUNDUP(IF(OR(race="Gnome", race="High Elf"),1,(1-MIN(TblMili[[#This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1240</v>
      </c>
      <c r="BP123" s="97">
        <f ca="1">ROUNDUP(IF(OR(race="Gnome", race="High Elf"),1,(1-MIN(TblMili[[#This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5700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4" s="262">
        <f ca="1">TblMili[[#This Row],[Non Draft]]+TblMili[[#This Row],[Draftees]]</f>
        <v>776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0</v>
      </c>
      <c r="W124" s="262">
        <f ca="1">TblMili[[#This Row],[Draft]] * (1 + TblMili[[#This Row],[Mods_Def]])</f>
        <v>776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776</v>
      </c>
      <c r="AB124" s="157"/>
      <c r="AC124" s="183">
        <f ca="1">(TblConstr[[#This Row],[Tot Smi]]+TblConstr[[#This Row],[Dest Smi]])/(TblConstr[[#This Row],[Land]]-TblExplore[[#This Row],[Land Bonus]]*20)</f>
        <v>0</v>
      </c>
      <c r="AD124" s="271"/>
      <c r="AE124" s="272">
        <f>TblMili[[#This Row],[Hour]]</f>
        <v>121</v>
      </c>
      <c r="AF124" s="141">
        <f ca="1">TblExplore[[#This Row],[Time]]</f>
        <v>45285.999999999709</v>
      </c>
      <c r="AG124" s="182"/>
      <c r="AH124" s="182"/>
      <c r="AI124" s="182"/>
      <c r="AJ124" s="182"/>
      <c r="AK124" s="182"/>
      <c r="AL124" s="182"/>
      <c r="AM124" s="182"/>
      <c r="AN124" s="182"/>
      <c r="AO124" s="145"/>
      <c r="AP124" s="97">
        <f ca="1">TblProd[[#This Row],[Platinum]]</f>
        <v>779198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45285.999999999709</v>
      </c>
      <c r="AV124" s="97">
        <f ca="1">TblMili[[#This Row],[Draftees]]</f>
        <v>776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ROUNDUP(IF(OR(race="Gnome", race="High Elf"),1,(1-MIN(TblMili[[#This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ROUNDUP(IF(OR(race="Gnome", race="High Elf"),1,(1-MIN(TblMili[[#This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ROUNDUP(IF(OR(race="Gnome", race="High Elf"),1,(1-MIN(TblMili[[#This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1240</v>
      </c>
      <c r="BP124" s="97">
        <f ca="1">ROUNDUP(IF(OR(race="Gnome", race="High Elf"),1,(1-MIN(TblMili[[#This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5700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5" s="262">
        <f ca="1">TblMili[[#This Row],[Non Draft]]+TblMili[[#This Row],[Draftees]]</f>
        <v>776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0</v>
      </c>
      <c r="W125" s="262">
        <f ca="1">TblMili[[#This Row],[Draft]] * (1 + TblMili[[#This Row],[Mods_Def]])</f>
        <v>776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776</v>
      </c>
      <c r="AB125" s="157"/>
      <c r="AC125" s="183">
        <f ca="1">(TblConstr[[#This Row],[Tot Smi]]+TblConstr[[#This Row],[Dest Smi]])/(TblConstr[[#This Row],[Land]]-TblExplore[[#This Row],[Land Bonus]]*20)</f>
        <v>0</v>
      </c>
      <c r="AD125" s="140"/>
      <c r="AE125" s="261">
        <f>TblMili[[#This Row],[Hour]]</f>
        <v>122</v>
      </c>
      <c r="AF125" s="141">
        <f ca="1">TblExplore[[#This Row],[Time]]</f>
        <v>45286.041666666373</v>
      </c>
      <c r="AG125" s="161"/>
      <c r="AH125" s="182"/>
      <c r="AI125" s="161"/>
      <c r="AJ125" s="182"/>
      <c r="AK125" s="182"/>
      <c r="AL125" s="182"/>
      <c r="AM125" s="182"/>
      <c r="AN125" s="182"/>
      <c r="AO125" s="145"/>
      <c r="AP125" s="97">
        <f ca="1">TblProd[[#This Row],[Platinum]]</f>
        <v>784684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45286.041666666373</v>
      </c>
      <c r="AV125" s="97">
        <f ca="1">TblMili[[#This Row],[Draftees]]</f>
        <v>776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ROUNDUP(IF(OR(race="Gnome", race="High Elf"),1,(1-MIN(TblMili[[#This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ROUNDUP(IF(OR(race="Gnome", race="High Elf"),1,(1-MIN(TblMili[[#This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ROUNDUP(IF(OR(race="Gnome", race="High Elf"),1,(1-MIN(TblMili[[#This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1240</v>
      </c>
      <c r="BP125" s="97">
        <f ca="1">ROUNDUP(IF(OR(race="Gnome", race="High Elf"),1,(1-MIN(TblMili[[#This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5700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6" s="262">
        <f ca="1">TblMili[[#This Row],[Non Draft]]+TblMili[[#This Row],[Draftees]]</f>
        <v>776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0</v>
      </c>
      <c r="W126" s="262">
        <f ca="1">TblMili[[#This Row],[Draft]] * (1 + TblMili[[#This Row],[Mods_Def]])</f>
        <v>776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776</v>
      </c>
      <c r="AB126" s="157"/>
      <c r="AC126" s="183">
        <f ca="1">(TblConstr[[#This Row],[Tot Smi]]+TblConstr[[#This Row],[Dest Smi]])/(TblConstr[[#This Row],[Land]]-TblExplore[[#This Row],[Land Bonus]]*20)</f>
        <v>0</v>
      </c>
      <c r="AD126" s="140"/>
      <c r="AE126" s="261">
        <f>TblMili[[#This Row],[Hour]]</f>
        <v>123</v>
      </c>
      <c r="AF126" s="141">
        <f ca="1">TblExplore[[#This Row],[Time]]</f>
        <v>45286.083333333037</v>
      </c>
      <c r="AG126" s="182"/>
      <c r="AH126" s="182"/>
      <c r="AI126" s="182"/>
      <c r="AJ126" s="182"/>
      <c r="AK126" s="182"/>
      <c r="AL126" s="182"/>
      <c r="AM126" s="182"/>
      <c r="AN126" s="182"/>
      <c r="AO126" s="145"/>
      <c r="AP126" s="97">
        <f ca="1">TblProd[[#This Row],[Platinum]]</f>
        <v>790170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45286.083333333037</v>
      </c>
      <c r="AV126" s="97">
        <f ca="1">TblMili[[#This Row],[Draftees]]</f>
        <v>776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ROUNDUP(IF(OR(race="Gnome", race="High Elf"),1,(1-MIN(TblMili[[#This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ROUNDUP(IF(OR(race="Gnome", race="High Elf"),1,(1-MIN(TblMili[[#This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ROUNDUP(IF(OR(race="Gnome", race="High Elf"),1,(1-MIN(TblMili[[#This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1240</v>
      </c>
      <c r="BP126" s="97">
        <f ca="1">ROUNDUP(IF(OR(race="Gnome", race="High Elf"),1,(1-MIN(TblMili[[#This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5700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7" s="262">
        <f ca="1">TblMili[[#This Row],[Non Draft]]+TblMili[[#This Row],[Draftees]]</f>
        <v>776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0</v>
      </c>
      <c r="W127" s="262">
        <f ca="1">TblMili[[#This Row],[Draft]] * (1 + TblMili[[#This Row],[Mods_Def]])</f>
        <v>776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776</v>
      </c>
      <c r="AB127" s="157"/>
      <c r="AC127" s="183">
        <f ca="1">(TblConstr[[#This Row],[Tot Smi]]+TblConstr[[#This Row],[Dest Smi]])/(TblConstr[[#This Row],[Land]]-TblExplore[[#This Row],[Land Bonus]]*20)</f>
        <v>0</v>
      </c>
      <c r="AD127" s="140"/>
      <c r="AE127" s="261">
        <f>TblMili[[#This Row],[Hour]]</f>
        <v>124</v>
      </c>
      <c r="AF127" s="141">
        <f ca="1">TblExplore[[#This Row],[Time]]</f>
        <v>45286.124999999702</v>
      </c>
      <c r="AG127" s="182"/>
      <c r="AH127" s="182"/>
      <c r="AI127" s="182"/>
      <c r="AJ127" s="182"/>
      <c r="AK127" s="182"/>
      <c r="AL127" s="182"/>
      <c r="AM127" s="182"/>
      <c r="AN127" s="182"/>
      <c r="AO127" s="145"/>
      <c r="AP127" s="97">
        <f ca="1">TblProd[[#This Row],[Platinum]]</f>
        <v>795656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45286.124999999702</v>
      </c>
      <c r="AV127" s="97">
        <f ca="1">TblMili[[#This Row],[Draftees]]</f>
        <v>776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ROUNDUP(IF(OR(race="Gnome", race="High Elf"),1,(1-MIN(TblMili[[#This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ROUNDUP(IF(OR(race="Gnome", race="High Elf"),1,(1-MIN(TblMili[[#This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ROUNDUP(IF(OR(race="Gnome", race="High Elf"),1,(1-MIN(TblMili[[#This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1240</v>
      </c>
      <c r="BP127" s="97">
        <f ca="1">ROUNDUP(IF(OR(race="Gnome", race="High Elf"),1,(1-MIN(TblMili[[#This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5700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8" s="262">
        <f ca="1">TblMili[[#This Row],[Non Draft]]+TblMili[[#This Row],[Draftees]]</f>
        <v>776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0</v>
      </c>
      <c r="W128" s="262">
        <f ca="1">TblMili[[#This Row],[Draft]] * (1 + TblMili[[#This Row],[Mods_Def]])</f>
        <v>776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776</v>
      </c>
      <c r="AB128" s="157"/>
      <c r="AC128" s="183">
        <f ca="1">(TblConstr[[#This Row],[Tot Smi]]+TblConstr[[#This Row],[Dest Smi]])/(TblConstr[[#This Row],[Land]]-TblExplore[[#This Row],[Land Bonus]]*20)</f>
        <v>0</v>
      </c>
      <c r="AD128" s="140"/>
      <c r="AE128" s="261">
        <f>TblMili[[#This Row],[Hour]]</f>
        <v>125</v>
      </c>
      <c r="AF128" s="141">
        <f ca="1">TblExplore[[#This Row],[Time]]</f>
        <v>45286.166666666366</v>
      </c>
      <c r="AG128" s="182"/>
      <c r="AH128" s="182"/>
      <c r="AI128" s="182"/>
      <c r="AJ128" s="182"/>
      <c r="AK128" s="182"/>
      <c r="AL128" s="182"/>
      <c r="AM128" s="182"/>
      <c r="AN128" s="182"/>
      <c r="AO128" s="145"/>
      <c r="AP128" s="97">
        <f ca="1">TblProd[[#This Row],[Platinum]]</f>
        <v>801142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45286.166666666366</v>
      </c>
      <c r="AV128" s="97">
        <f ca="1">TblMili[[#This Row],[Draftees]]</f>
        <v>776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ROUNDUP(IF(OR(race="Gnome", race="High Elf"),1,(1-MIN(TblMili[[#This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ROUNDUP(IF(OR(race="Gnome", race="High Elf"),1,(1-MIN(TblMili[[#This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ROUNDUP(IF(OR(race="Gnome", race="High Elf"),1,(1-MIN(TblMili[[#This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1240</v>
      </c>
      <c r="BP128" s="97">
        <f ca="1">ROUNDUP(IF(OR(race="Gnome", race="High Elf"),1,(1-MIN(TblMili[[#This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5700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29" s="262">
        <f ca="1">TblMili[[#This Row],[Non Draft]]+TblMili[[#This Row],[Draftees]]</f>
        <v>776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0</v>
      </c>
      <c r="W129" s="262">
        <f ca="1">TblMili[[#This Row],[Draft]] * (1 + TblMili[[#This Row],[Mods_Def]])</f>
        <v>776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776</v>
      </c>
      <c r="AB129" s="157"/>
      <c r="AC129" s="183">
        <f ca="1">(TblConstr[[#This Row],[Tot Smi]]+TblConstr[[#This Row],[Dest Smi]])/(TblConstr[[#This Row],[Land]]-TblExplore[[#This Row],[Land Bonus]]*20)</f>
        <v>0</v>
      </c>
      <c r="AD129" s="140"/>
      <c r="AE129" s="261">
        <f>TblMili[[#This Row],[Hour]]</f>
        <v>126</v>
      </c>
      <c r="AF129" s="141">
        <f ca="1">TblExplore[[#This Row],[Time]]</f>
        <v>45286.20833333303</v>
      </c>
      <c r="AG129" s="182"/>
      <c r="AH129" s="182"/>
      <c r="AI129" s="182"/>
      <c r="AJ129" s="182"/>
      <c r="AK129" s="182"/>
      <c r="AL129" s="182"/>
      <c r="AM129" s="182"/>
      <c r="AN129" s="182"/>
      <c r="AO129" s="145"/>
      <c r="AP129" s="97">
        <f ca="1">TblProd[[#This Row],[Platinum]]</f>
        <v>806628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45286.20833333303</v>
      </c>
      <c r="AV129" s="97">
        <f ca="1">TblMili[[#This Row],[Draftees]]</f>
        <v>776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ROUNDUP(IF(OR(race="Gnome", race="High Elf"),1,(1-MIN(TblMili[[#This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ROUNDUP(IF(OR(race="Gnome", race="High Elf"),1,(1-MIN(TblMili[[#This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ROUNDUP(IF(OR(race="Gnome", race="High Elf"),1,(1-MIN(TblMili[[#This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1240</v>
      </c>
      <c r="BP129" s="97">
        <f ca="1">ROUNDUP(IF(OR(race="Gnome", race="High Elf"),1,(1-MIN(TblMili[[#This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5700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0" s="262">
        <f ca="1">TblMili[[#This Row],[Non Draft]]+TblMili[[#This Row],[Draftees]]</f>
        <v>776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0</v>
      </c>
      <c r="W130" s="262">
        <f ca="1">TblMili[[#This Row],[Draft]] * (1 + TblMili[[#This Row],[Mods_Def]])</f>
        <v>776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776</v>
      </c>
      <c r="AB130" s="157"/>
      <c r="AC130" s="183">
        <f ca="1">(TblConstr[[#This Row],[Tot Smi]]+TblConstr[[#This Row],[Dest Smi]])/(TblConstr[[#This Row],[Land]]-TblExplore[[#This Row],[Land Bonus]]*20)</f>
        <v>0</v>
      </c>
      <c r="AD130" s="140"/>
      <c r="AE130" s="261">
        <f>TblMili[[#This Row],[Hour]]</f>
        <v>127</v>
      </c>
      <c r="AF130" s="141">
        <f ca="1">TblExplore[[#This Row],[Time]]</f>
        <v>45286.249999999694</v>
      </c>
      <c r="AG130" s="182"/>
      <c r="AH130" s="182"/>
      <c r="AI130" s="182"/>
      <c r="AJ130" s="182"/>
      <c r="AK130" s="182"/>
      <c r="AL130" s="182"/>
      <c r="AM130" s="182"/>
      <c r="AN130" s="182"/>
      <c r="AO130" s="145"/>
      <c r="AP130" s="97">
        <f ca="1">TblProd[[#This Row],[Platinum]]</f>
        <v>812114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45286.249999999694</v>
      </c>
      <c r="AV130" s="97">
        <f ca="1">TblMili[[#This Row],[Draftees]]</f>
        <v>776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ROUNDUP(IF(OR(race="Gnome", race="High Elf"),1,(1-MIN(TblMili[[#This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ROUNDUP(IF(OR(race="Gnome", race="High Elf"),1,(1-MIN(TblMili[[#This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ROUNDUP(IF(OR(race="Gnome", race="High Elf"),1,(1-MIN(TblMili[[#This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1240</v>
      </c>
      <c r="BP130" s="97">
        <f ca="1">ROUNDUP(IF(OR(race="Gnome", race="High Elf"),1,(1-MIN(TblMili[[#This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5700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1" s="262">
        <f ca="1">TblMili[[#This Row],[Non Draft]]+TblMili[[#This Row],[Draftees]]</f>
        <v>776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0</v>
      </c>
      <c r="W131" s="262">
        <f ca="1">TblMili[[#This Row],[Draft]] * (1 + TblMili[[#This Row],[Mods_Def]])</f>
        <v>776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776</v>
      </c>
      <c r="AB131" s="157"/>
      <c r="AC131" s="183">
        <f ca="1">(TblConstr[[#This Row],[Tot Smi]]+TblConstr[[#This Row],[Dest Smi]])/(TblConstr[[#This Row],[Land]]-TblExplore[[#This Row],[Land Bonus]]*20)</f>
        <v>0</v>
      </c>
      <c r="AD131" s="140"/>
      <c r="AE131" s="261">
        <f>TblMili[[#This Row],[Hour]]</f>
        <v>128</v>
      </c>
      <c r="AF131" s="141">
        <f ca="1">TblExplore[[#This Row],[Time]]</f>
        <v>45286.291666666359</v>
      </c>
      <c r="AG131" s="182"/>
      <c r="AH131" s="182"/>
      <c r="AI131" s="182"/>
      <c r="AJ131" s="182"/>
      <c r="AK131" s="182"/>
      <c r="AL131" s="182"/>
      <c r="AM131" s="182"/>
      <c r="AN131" s="182"/>
      <c r="AO131" s="145"/>
      <c r="AP131" s="97">
        <f ca="1">TblProd[[#This Row],[Platinum]]</f>
        <v>817600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45286.291666666359</v>
      </c>
      <c r="AV131" s="97">
        <f ca="1">TblMili[[#This Row],[Draftees]]</f>
        <v>776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ROUNDUP(IF(OR(race="Gnome", race="High Elf"),1,(1-MIN(TblMili[[#This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ROUNDUP(IF(OR(race="Gnome", race="High Elf"),1,(1-MIN(TblMili[[#This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ROUNDUP(IF(OR(race="Gnome", race="High Elf"),1,(1-MIN(TblMili[[#This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1240</v>
      </c>
      <c r="BP131" s="97">
        <f ca="1">ROUNDUP(IF(OR(race="Gnome", race="High Elf"),1,(1-MIN(TblMili[[#This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5700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2" s="262">
        <f ca="1">TblMili[[#This Row],[Non Draft]]+TblMili[[#This Row],[Draftees]]</f>
        <v>776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0</v>
      </c>
      <c r="W132" s="262">
        <f ca="1">TblMili[[#This Row],[Draft]] * (1 + TblMili[[#This Row],[Mods_Def]])</f>
        <v>776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776</v>
      </c>
      <c r="AB132" s="157"/>
      <c r="AC132" s="183">
        <f ca="1">(TblConstr[[#This Row],[Tot Smi]]+TblConstr[[#This Row],[Dest Smi]])/(TblConstr[[#This Row],[Land]]-TblExplore[[#This Row],[Land Bonus]]*20)</f>
        <v>0</v>
      </c>
      <c r="AD132" s="140"/>
      <c r="AE132" s="261">
        <f>TblMili[[#This Row],[Hour]]</f>
        <v>129</v>
      </c>
      <c r="AF132" s="141">
        <f ca="1">TblExplore[[#This Row],[Time]]</f>
        <v>45286.333333333023</v>
      </c>
      <c r="AG132" s="182"/>
      <c r="AH132" s="182"/>
      <c r="AI132" s="182"/>
      <c r="AJ132" s="182"/>
      <c r="AK132" s="182"/>
      <c r="AL132" s="182"/>
      <c r="AM132" s="182"/>
      <c r="AN132" s="182"/>
      <c r="AO132" s="145"/>
      <c r="AP132" s="97">
        <f ca="1">TblProd[[#This Row],[Platinum]]</f>
        <v>823086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45286.333333333023</v>
      </c>
      <c r="AV132" s="97">
        <f ca="1">TblMili[[#This Row],[Draftees]]</f>
        <v>776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ROUNDUP(IF(OR(race="Gnome", race="High Elf"),1,(1-MIN(TblMili[[#This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ROUNDUP(IF(OR(race="Gnome", race="High Elf"),1,(1-MIN(TblMili[[#This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ROUNDUP(IF(OR(race="Gnome", race="High Elf"),1,(1-MIN(TblMili[[#This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1240</v>
      </c>
      <c r="BP132" s="97">
        <f ca="1">ROUNDUP(IF(OR(race="Gnome", race="High Elf"),1,(1-MIN(TblMili[[#This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5700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3" s="262">
        <f ca="1">TblMili[[#This Row],[Non Draft]]+TblMili[[#This Row],[Draftees]]</f>
        <v>776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0</v>
      </c>
      <c r="W133" s="262">
        <f ca="1">TblMili[[#This Row],[Draft]] * (1 + TblMili[[#This Row],[Mods_Def]])</f>
        <v>776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776</v>
      </c>
      <c r="AB133" s="157"/>
      <c r="AC133" s="183">
        <f ca="1">(TblConstr[[#This Row],[Tot Smi]]+TblConstr[[#This Row],[Dest Smi]])/(TblConstr[[#This Row],[Land]]-TblExplore[[#This Row],[Land Bonus]]*20)</f>
        <v>0</v>
      </c>
      <c r="AD133" s="140"/>
      <c r="AE133" s="261">
        <f>TblMili[[#This Row],[Hour]]</f>
        <v>130</v>
      </c>
      <c r="AF133" s="141">
        <f ca="1">TblExplore[[#This Row],[Time]]</f>
        <v>45286.374999999687</v>
      </c>
      <c r="AG133" s="182"/>
      <c r="AH133" s="182"/>
      <c r="AI133" s="182"/>
      <c r="AJ133" s="182"/>
      <c r="AK133" s="182"/>
      <c r="AL133" s="182"/>
      <c r="AM133" s="182"/>
      <c r="AN133" s="182"/>
      <c r="AO133" s="145"/>
      <c r="AP133" s="97">
        <f ca="1">TblProd[[#This Row],[Platinum]]</f>
        <v>828572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45286.374999999687</v>
      </c>
      <c r="AV133" s="97">
        <f ca="1">TblMili[[#This Row],[Draftees]]</f>
        <v>776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ROUNDUP(IF(OR(race="Gnome", race="High Elf"),1,(1-MIN(TblMili[[#This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ROUNDUP(IF(OR(race="Gnome", race="High Elf"),1,(1-MIN(TblMili[[#This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ROUNDUP(IF(OR(race="Gnome", race="High Elf"),1,(1-MIN(TblMili[[#This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1240</v>
      </c>
      <c r="BP133" s="97">
        <f ca="1">ROUNDUP(IF(OR(race="Gnome", race="High Elf"),1,(1-MIN(TblMili[[#This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5700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4" s="262">
        <f ca="1">TblMili[[#This Row],[Non Draft]]+TblMili[[#This Row],[Draftees]]</f>
        <v>776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0</v>
      </c>
      <c r="W134" s="262">
        <f ca="1">TblMili[[#This Row],[Draft]] * (1 + TblMili[[#This Row],[Mods_Def]])</f>
        <v>776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776</v>
      </c>
      <c r="AB134" s="157"/>
      <c r="AC134" s="183">
        <f ca="1">(TblConstr[[#This Row],[Tot Smi]]+TblConstr[[#This Row],[Dest Smi]])/(TblConstr[[#This Row],[Land]]-TblExplore[[#This Row],[Land Bonus]]*20)</f>
        <v>0</v>
      </c>
      <c r="AD134" s="140"/>
      <c r="AE134" s="261">
        <f>TblMili[[#This Row],[Hour]]</f>
        <v>131</v>
      </c>
      <c r="AF134" s="141">
        <f ca="1">TblExplore[[#This Row],[Time]]</f>
        <v>45286.416666666351</v>
      </c>
      <c r="AG134" s="182"/>
      <c r="AH134" s="182"/>
      <c r="AI134" s="182"/>
      <c r="AJ134" s="182"/>
      <c r="AK134" s="182"/>
      <c r="AL134" s="182"/>
      <c r="AM134" s="182"/>
      <c r="AN134" s="182"/>
      <c r="AO134" s="145"/>
      <c r="AP134" s="97">
        <f ca="1">TblProd[[#This Row],[Platinum]]</f>
        <v>834058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45286.416666666351</v>
      </c>
      <c r="AV134" s="97">
        <f ca="1">TblMili[[#This Row],[Draftees]]</f>
        <v>776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ROUNDUP(IF(OR(race="Gnome", race="High Elf"),1,(1-MIN(TblMili[[#This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ROUNDUP(IF(OR(race="Gnome", race="High Elf"),1,(1-MIN(TblMili[[#This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ROUNDUP(IF(OR(race="Gnome", race="High Elf"),1,(1-MIN(TblMili[[#This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1240</v>
      </c>
      <c r="BP134" s="97">
        <f ca="1">ROUNDUP(IF(OR(race="Gnome", race="High Elf"),1,(1-MIN(TblMili[[#This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5700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5" s="262">
        <f ca="1">TblMili[[#This Row],[Non Draft]]+TblMili[[#This Row],[Draftees]]</f>
        <v>776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0</v>
      </c>
      <c r="W135" s="262">
        <f ca="1">TblMili[[#This Row],[Draft]] * (1 + TblMili[[#This Row],[Mods_Def]])</f>
        <v>776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776</v>
      </c>
      <c r="AB135" s="157"/>
      <c r="AC135" s="183">
        <f ca="1">(TblConstr[[#This Row],[Tot Smi]]+TblConstr[[#This Row],[Dest Smi]])/(TblConstr[[#This Row],[Land]]-TblExplore[[#This Row],[Land Bonus]]*20)</f>
        <v>0</v>
      </c>
      <c r="AD135" s="140"/>
      <c r="AE135" s="261">
        <f>TblMili[[#This Row],[Hour]]</f>
        <v>132</v>
      </c>
      <c r="AF135" s="141">
        <f ca="1">TblExplore[[#This Row],[Time]]</f>
        <v>45286.458333333016</v>
      </c>
      <c r="AG135" s="182"/>
      <c r="AH135" s="182"/>
      <c r="AI135" s="182"/>
      <c r="AJ135" s="182"/>
      <c r="AK135" s="182"/>
      <c r="AL135" s="182"/>
      <c r="AM135" s="182"/>
      <c r="AN135" s="182"/>
      <c r="AO135" s="145"/>
      <c r="AP135" s="97">
        <f ca="1">TblProd[[#This Row],[Platinum]]</f>
        <v>839544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45286.458333333016</v>
      </c>
      <c r="AV135" s="97">
        <f ca="1">TblMili[[#This Row],[Draftees]]</f>
        <v>776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ROUNDUP(IF(OR(race="Gnome", race="High Elf"),1,(1-MIN(TblMili[[#This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ROUNDUP(IF(OR(race="Gnome", race="High Elf"),1,(1-MIN(TblMili[[#This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ROUNDUP(IF(OR(race="Gnome", race="High Elf"),1,(1-MIN(TblMili[[#This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1240</v>
      </c>
      <c r="BP135" s="97">
        <f ca="1">ROUNDUP(IF(OR(race="Gnome", race="High Elf"),1,(1-MIN(TblMili[[#This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5700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0</v>
      </c>
      <c r="T136" s="262">
        <f ca="1">TblMili[[#This Row],[Non Draft]]+TblMili[[#This Row],[Draftees]]</f>
        <v>776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0</v>
      </c>
      <c r="W136" s="262">
        <f ca="1">TblMili[[#This Row],[Draft]] * (1 + TblMili[[#This Row],[Mods_Def]])</f>
        <v>776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776</v>
      </c>
      <c r="AB136" s="157"/>
      <c r="AC136" s="183">
        <f ca="1">(TblConstr[[#This Row],[Tot Smi]]+TblConstr[[#This Row],[Dest Smi]])/(TblConstr[[#This Row],[Land]]-TblExplore[[#This Row],[Land Bonus]]*20)</f>
        <v>0</v>
      </c>
      <c r="AD136" s="261"/>
      <c r="AE136" s="261">
        <f>TblMili[[#This Row],[Hour]]</f>
        <v>133</v>
      </c>
      <c r="AF136" s="141">
        <f ca="1">TblExplore[[#This Row],[Time]]</f>
        <v>45286.49999999968</v>
      </c>
      <c r="AG136" s="182"/>
      <c r="AH136" s="161"/>
      <c r="AI136" s="182"/>
      <c r="AJ136" s="161"/>
      <c r="AK136" s="161"/>
      <c r="AL136" s="161"/>
      <c r="AM136" s="161"/>
      <c r="AN136" s="182"/>
      <c r="AO136" s="145"/>
      <c r="AP136" s="97">
        <f ca="1">TblProd[[#This Row],[Platinum]]</f>
        <v>845030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45286.49999999968</v>
      </c>
      <c r="AV136" s="97">
        <f ca="1">TblMili[[#This Row],[Draftees]]</f>
        <v>776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ROUNDUP(IF(OR(race="Gnome", race="High Elf"),1,(1-MIN(TblMili[[#This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ROUNDUP(IF(OR(race="Gnome", race="High Elf"),1,(1-MIN(TblMili[[#This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ROUNDUP(IF(OR(race="Gnome", race="High Elf"),1,(1-MIN(TblMili[[#This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1240</v>
      </c>
      <c r="BP136" s="97">
        <f ca="1">ROUNDUP(IF(OR(race="Gnome", race="High Elf"),1,(1-MIN(TblMili[[#This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5700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50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F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F136">
    <cfRule type="expression" dxfId="384" priority="39">
      <formula>ROUND(($A3-1)/12,0)=INT($A3-1)/12</formula>
    </cfRule>
  </conditionalFormatting>
  <conditionalFormatting sqref="A1:XFD3">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31"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1090</v>
      </c>
      <c r="U1" s="257"/>
      <c r="X1" s="28" t="s">
        <v>33</v>
      </c>
      <c r="AA1" s="28" t="s">
        <v>207</v>
      </c>
      <c r="AF1" s="28" t="s">
        <v>91</v>
      </c>
      <c r="AG1" s="28" t="s">
        <v>94</v>
      </c>
      <c r="AH1" s="28" t="s">
        <v>93</v>
      </c>
      <c r="AI1" s="28" t="s">
        <v>363</v>
      </c>
      <c r="AJ1" s="28" t="s">
        <v>92</v>
      </c>
      <c r="AK1" s="28" t="s">
        <v>103</v>
      </c>
      <c r="AL1" s="28" t="s">
        <v>331</v>
      </c>
      <c r="AM1" s="28" t="s">
        <v>345</v>
      </c>
      <c r="AN1" s="28" t="s">
        <v>501</v>
      </c>
    </row>
    <row r="2" spans="1:41" s="28" customFormat="1" x14ac:dyDescent="0.2">
      <c r="G2" s="28" t="s">
        <v>197</v>
      </c>
      <c r="L2" s="257" t="s">
        <v>538</v>
      </c>
      <c r="M2" s="284" t="s">
        <v>94</v>
      </c>
      <c r="N2" s="284" t="s">
        <v>93</v>
      </c>
      <c r="O2" s="503"/>
      <c r="P2" s="257" t="s">
        <v>92</v>
      </c>
      <c r="Q2" s="257" t="s">
        <v>103</v>
      </c>
      <c r="R2" s="257" t="s">
        <v>331</v>
      </c>
      <c r="S2" s="257" t="s">
        <v>345</v>
      </c>
      <c r="T2" s="257" t="s">
        <v>501</v>
      </c>
      <c r="U2" s="257" t="s">
        <v>90</v>
      </c>
      <c r="V2" s="257" t="s">
        <v>503</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530</v>
      </c>
      <c r="N3" s="285" t="s">
        <v>264</v>
      </c>
      <c r="O3" s="138" t="s">
        <v>1091</v>
      </c>
      <c r="P3" s="138" t="s">
        <v>300</v>
      </c>
      <c r="Q3" s="138" t="s">
        <v>337</v>
      </c>
      <c r="R3" s="138" t="s">
        <v>1092</v>
      </c>
      <c r="S3" s="138" t="s">
        <v>343</v>
      </c>
      <c r="T3" s="138" t="s">
        <v>427</v>
      </c>
      <c r="U3" s="138" t="s">
        <v>1085</v>
      </c>
      <c r="V3" s="138" t="s">
        <v>504</v>
      </c>
      <c r="W3" s="138" t="s">
        <v>775</v>
      </c>
      <c r="X3" s="138" t="s">
        <v>923</v>
      </c>
      <c r="Y3" s="138" t="s">
        <v>924</v>
      </c>
      <c r="Z3" s="138" t="s">
        <v>776</v>
      </c>
      <c r="AA3" s="138" t="s">
        <v>925</v>
      </c>
      <c r="AB3" s="138" t="s">
        <v>926</v>
      </c>
      <c r="AC3" s="138" t="s">
        <v>927</v>
      </c>
      <c r="AD3" s="138" t="s">
        <v>928</v>
      </c>
      <c r="AE3" s="138" t="s">
        <v>929</v>
      </c>
      <c r="AF3" s="138" t="s">
        <v>932</v>
      </c>
      <c r="AG3" s="138" t="s">
        <v>933</v>
      </c>
      <c r="AH3" s="138" t="s">
        <v>934</v>
      </c>
      <c r="AI3" s="138" t="s">
        <v>930</v>
      </c>
      <c r="AJ3" s="138" t="s">
        <v>935</v>
      </c>
      <c r="AK3" s="138" t="s">
        <v>936</v>
      </c>
      <c r="AL3" s="138" t="s">
        <v>1101</v>
      </c>
      <c r="AM3" s="138" t="s">
        <v>937</v>
      </c>
      <c r="AN3" s="138" t="s">
        <v>931</v>
      </c>
      <c r="AO3" s="439" t="s">
        <v>1086</v>
      </c>
    </row>
    <row r="4" spans="1:41" x14ac:dyDescent="0.2">
      <c r="A4" s="140">
        <f>TblRezone[[#This Row],[Hour]]</f>
        <v>1</v>
      </c>
      <c r="B4" s="157">
        <f ca="1">TblConstr[[#This Row],[Land]]</f>
        <v>250</v>
      </c>
      <c r="C4" s="97">
        <f ca="1">TblProd[[#This Row],[Mana]]</f>
        <v>0</v>
      </c>
      <c r="D4" s="424">
        <f>1-TblMagic[[#This Row],[Wiz str cost]]</f>
        <v>1</v>
      </c>
      <c r="E4" s="162">
        <f>Imps!L4</f>
        <v>45281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45281.041666666664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45281.083333333328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45281.124999999993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45281.166666666657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45281.208333333321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45281.249999999985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45281.29166666665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45281.333333333314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45281.374999999978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45281.416666666642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45281.458333333307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45281.499999999971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45281.541666666635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45281.583333333299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45281.624999999964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45281.666666666628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45281.708333333292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45281.749999999956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45281.791666666621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45281.833333333285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45281.874999999949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45281.916666666613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45281.958333333278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45281.999999999942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45282.041666666606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45282.08333333327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45282.124999999935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45282.166666666599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45282.208333333263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45282.249999999927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45282.291666666591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45282.333333333256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45282.37499999992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45282.416666666584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45282.458333333248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45282.499999999913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45282.541666666577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45282.583333333241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45282.624999999905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45282.66666666657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45282.708333333234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45282.749999999898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45282.791666666562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45282.833333333227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45282.874999999891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45282.916666666555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45282.958333333219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45282.999999999884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45283.041666666548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45283.083333333212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45283.124999999876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45283.166666666541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45283.208333333205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45283.249999999869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45283.291666666533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45283.333333333198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45283.374999999862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45283.416666666526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45283.45833333319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45283.499999999854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45283.541666666519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45283.583333333183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45283.624999999847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45283.666666666511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45283.708333333176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45283.74999999984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45283.791666666504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45283.833333333168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45283.874999999833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45283.916666666497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45283.958333333161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45283.999999999825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45284.04166666649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45284.083333333154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45284.124999999818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45284.166666666482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45284.208333333147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45284.249999999811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45284.291666666475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45284.333333333139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45284.374999999804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45284.416666666468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45284.458333333132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45284.499999999796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45284.541666666461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45284.583333333125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45284.624999999789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45284.666666666453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45284.708333333117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45284.749999999782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45284.791666666446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45284.83333333311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45284.874999999774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45284.916666666439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45284.958333333103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45284.999999999767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45285.041666666431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45285.083333333096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45285.12499999976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45285.166666666424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45285.208333333088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45285.249999999753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45285.291666666417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45285.333333333081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45285.374999999745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45285.41666666641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45285.458333333074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45285.499999999738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45285.541666666402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45285.583333333067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45285.624999999731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45285.666666666395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45285.708333333059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45285.749999999724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45285.791666666388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45285.833333333052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45285.874999999716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45285.91666666638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45285.958333333045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45285.999999999709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45286.041666666373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45286.083333333037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45286.124999999702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45286.166666666366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45286.20833333303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45286.249999999694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45286.291666666359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45286.333333333023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45286.374999999687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45286.416666666351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45286.458333333016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45286.49999999968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53"/>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70" priority="17" stopIfTrue="1">
      <formula>ROW()-2=#REF!</formula>
    </cfRule>
  </conditionalFormatting>
  <conditionalFormatting sqref="A1269:XFD1270">
    <cfRule type="expression" dxfId="269" priority="18" stopIfTrue="1">
      <formula>$C$1270&gt;144</formula>
    </cfRule>
  </conditionalFormatting>
  <conditionalFormatting sqref="A4:AO136">
    <cfRule type="expression" dxfId="268" priority="1" stopIfTrue="1">
      <formula>ROW()-3=$C$1270</formula>
    </cfRule>
    <cfRule type="expression" dxfId="267" priority="2" stopIfTrue="1">
      <formula>OR(ROW()-3=$C$1270,A4&lt;0)</formula>
    </cfRule>
    <cfRule type="expression" dxfId="266" priority="3">
      <formula>$A4=73</formula>
    </cfRule>
    <cfRule type="expression" dxfId="265" priority="11">
      <formula>ROUND(($A4-1)/12,0)=INT($A4-1)/12</formula>
    </cfRule>
  </conditionalFormatting>
  <conditionalFormatting sqref="G16:V136">
    <cfRule type="expression" dxfId="264" priority="12">
      <formula>COUNTA(G5:G16)&gt;0</formula>
    </cfRule>
  </conditionalFormatting>
  <conditionalFormatting sqref="A3:XFD3 A2:N2 A1:S1 U1:XFD1 P2:XFD2">
    <cfRule type="expression" dxfId="263"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10"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1010</v>
      </c>
      <c r="F2" s="304">
        <f>IFERROR(SMALL(TblTech[Activate @ hour],1),0)</f>
        <v>0</v>
      </c>
      <c r="G2" s="45" t="s">
        <v>1073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775</v>
      </c>
      <c r="F3" s="290" t="s">
        <v>1011</v>
      </c>
      <c r="G3" s="290" t="s">
        <v>938</v>
      </c>
      <c r="H3" s="290" t="s">
        <v>982</v>
      </c>
      <c r="I3" s="290" t="s">
        <v>983</v>
      </c>
      <c r="J3" s="290" t="s">
        <v>776</v>
      </c>
      <c r="K3" s="258" t="s">
        <v>777</v>
      </c>
      <c r="L3" s="290" t="s">
        <v>939</v>
      </c>
      <c r="M3" s="224" t="s">
        <v>539</v>
      </c>
      <c r="N3" s="224" t="s">
        <v>541</v>
      </c>
      <c r="O3" s="224" t="s">
        <v>542</v>
      </c>
      <c r="P3" s="224" t="s">
        <v>544</v>
      </c>
      <c r="Q3" s="224" t="s">
        <v>546</v>
      </c>
      <c r="R3" s="224" t="s">
        <v>547</v>
      </c>
      <c r="S3" s="224" t="s">
        <v>548</v>
      </c>
      <c r="T3" s="224" t="s">
        <v>549</v>
      </c>
      <c r="U3" s="224" t="s">
        <v>550</v>
      </c>
      <c r="V3" s="224" t="s">
        <v>552</v>
      </c>
      <c r="W3" s="224" t="s">
        <v>554</v>
      </c>
      <c r="X3" s="224" t="s">
        <v>555</v>
      </c>
      <c r="Y3" s="224" t="s">
        <v>556</v>
      </c>
      <c r="Z3" s="224" t="s">
        <v>557</v>
      </c>
      <c r="AA3" s="224" t="s">
        <v>559</v>
      </c>
      <c r="AB3" s="224" t="s">
        <v>560</v>
      </c>
      <c r="AC3" s="224" t="s">
        <v>561</v>
      </c>
      <c r="AD3" s="224" t="s">
        <v>563</v>
      </c>
      <c r="AE3" s="224" t="s">
        <v>565</v>
      </c>
      <c r="AF3" s="224" t="s">
        <v>566</v>
      </c>
      <c r="AG3" s="224" t="s">
        <v>567</v>
      </c>
      <c r="AH3" s="224" t="s">
        <v>569</v>
      </c>
      <c r="AI3" s="224" t="s">
        <v>571</v>
      </c>
      <c r="AJ3" s="224" t="s">
        <v>573</v>
      </c>
      <c r="AK3" s="224" t="s">
        <v>574</v>
      </c>
      <c r="AL3" s="224" t="s">
        <v>575</v>
      </c>
      <c r="AM3" s="224" t="s">
        <v>576</v>
      </c>
      <c r="AN3" s="224" t="s">
        <v>577</v>
      </c>
      <c r="AO3" s="224" t="s">
        <v>578</v>
      </c>
      <c r="AP3" s="224" t="s">
        <v>580</v>
      </c>
      <c r="AQ3" s="224" t="s">
        <v>582</v>
      </c>
      <c r="AR3" s="224" t="s">
        <v>583</v>
      </c>
      <c r="AS3" s="224" t="s">
        <v>584</v>
      </c>
      <c r="AT3" s="224" t="s">
        <v>585</v>
      </c>
      <c r="AU3" s="224" t="s">
        <v>586</v>
      </c>
      <c r="AV3" s="224" t="s">
        <v>587</v>
      </c>
      <c r="AW3" s="224" t="s">
        <v>589</v>
      </c>
      <c r="AX3" s="224" t="s">
        <v>590</v>
      </c>
      <c r="AY3" s="224" t="s">
        <v>591</v>
      </c>
      <c r="AZ3" s="224" t="s">
        <v>592</v>
      </c>
      <c r="BA3" s="224" t="s">
        <v>593</v>
      </c>
      <c r="BB3" s="224" t="s">
        <v>594</v>
      </c>
      <c r="BC3" s="224" t="s">
        <v>595</v>
      </c>
      <c r="BD3" s="224" t="s">
        <v>596</v>
      </c>
      <c r="BE3" s="224" t="s">
        <v>597</v>
      </c>
      <c r="BF3" s="224" t="s">
        <v>598</v>
      </c>
      <c r="BG3" s="224" t="s">
        <v>599</v>
      </c>
      <c r="BH3" s="224" t="s">
        <v>601</v>
      </c>
      <c r="BI3" s="224" t="s">
        <v>602</v>
      </c>
      <c r="BJ3" s="224" t="s">
        <v>604</v>
      </c>
      <c r="BK3" s="224" t="s">
        <v>605</v>
      </c>
      <c r="BL3" s="224" t="s">
        <v>606</v>
      </c>
      <c r="BM3" s="224" t="s">
        <v>608</v>
      </c>
      <c r="BN3" s="224" t="s">
        <v>610</v>
      </c>
      <c r="BO3" s="224" t="s">
        <v>611</v>
      </c>
      <c r="BP3" s="224" t="s">
        <v>612</v>
      </c>
      <c r="BQ3" s="224" t="s">
        <v>614</v>
      </c>
      <c r="BR3" s="224" t="s">
        <v>615</v>
      </c>
      <c r="BS3" s="224" t="s">
        <v>617</v>
      </c>
      <c r="BT3" s="224" t="s">
        <v>619</v>
      </c>
      <c r="BU3" s="224" t="s">
        <v>620</v>
      </c>
      <c r="BV3" s="224" t="s">
        <v>622</v>
      </c>
      <c r="BW3" s="224" t="s">
        <v>623</v>
      </c>
      <c r="BX3" s="224" t="s">
        <v>624</v>
      </c>
      <c r="BY3" s="224" t="s">
        <v>626</v>
      </c>
      <c r="BZ3" s="224" t="s">
        <v>627</v>
      </c>
      <c r="CA3" s="224" t="s">
        <v>682</v>
      </c>
    </row>
    <row r="4" spans="1:79" x14ac:dyDescent="0.2">
      <c r="A4" s="291">
        <f>TblRezone[[#This Row],[Hour]]</f>
        <v>1</v>
      </c>
      <c r="B4" s="292">
        <f ca="1">TblExplore[[#This Row],[Land-DB]]</f>
        <v>250</v>
      </c>
      <c r="C4" s="293">
        <f ca="1">TblProd[[#This Row],[Techpoints]]</f>
        <v>0</v>
      </c>
      <c r="D4" s="293">
        <f ca="1">TblProd[[#This Row],[Required]]</f>
        <v>3750</v>
      </c>
      <c r="E4" s="294"/>
      <c r="F4" s="295"/>
      <c r="G4" s="296" t="s">
        <v>539</v>
      </c>
      <c r="H4" s="297" t="s">
        <v>683</v>
      </c>
      <c r="I4" s="296" t="s">
        <v>540</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541</v>
      </c>
      <c r="H5" s="297" t="s">
        <v>684</v>
      </c>
      <c r="I5" s="296" t="s">
        <v>1111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542</v>
      </c>
      <c r="H6" s="297" t="s">
        <v>685</v>
      </c>
      <c r="I6" s="296" t="s">
        <v>543</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544</v>
      </c>
      <c r="H7" s="297" t="s">
        <v>686</v>
      </c>
      <c r="I7" s="296" t="s">
        <v>545</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546</v>
      </c>
      <c r="H8" s="297" t="s">
        <v>687</v>
      </c>
      <c r="I8" s="296" t="s">
        <v>1108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547</v>
      </c>
      <c r="H9" s="297" t="s">
        <v>698</v>
      </c>
      <c r="I9" s="296" t="s">
        <v>562</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548</v>
      </c>
      <c r="H10" s="297" t="s">
        <v>727</v>
      </c>
      <c r="I10" s="296" t="s">
        <v>742</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549</v>
      </c>
      <c r="H11" s="297" t="s">
        <v>690</v>
      </c>
      <c r="I11" s="296" t="s">
        <v>1057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550</v>
      </c>
      <c r="H12" s="297" t="s">
        <v>709</v>
      </c>
      <c r="I12" s="296" t="s">
        <v>581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552</v>
      </c>
      <c r="H13" s="297" t="s">
        <v>691</v>
      </c>
      <c r="I13" s="296" t="s">
        <v>551</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554</v>
      </c>
      <c r="H14" s="297" t="s">
        <v>1067</v>
      </c>
      <c r="I14" s="296" t="s">
        <v>743</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555</v>
      </c>
      <c r="H16" s="297" t="s">
        <v>693</v>
      </c>
      <c r="I16" s="296" t="s">
        <v>751</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556</v>
      </c>
      <c r="H17" s="297" t="s">
        <v>694</v>
      </c>
      <c r="I17" s="296" t="s">
        <v>752</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557</v>
      </c>
      <c r="H18" s="297" t="s">
        <v>695</v>
      </c>
      <c r="I18" s="296" t="s">
        <v>1104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559</v>
      </c>
      <c r="H19" s="297" t="s">
        <v>696</v>
      </c>
      <c r="I19" s="296" t="s">
        <v>1110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560</v>
      </c>
      <c r="H20" s="297" t="s">
        <v>697</v>
      </c>
      <c r="I20" s="296" t="s">
        <v>1058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561</v>
      </c>
      <c r="H21" s="297" t="s">
        <v>689</v>
      </c>
      <c r="I21" s="296" t="s">
        <v>1106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563</v>
      </c>
      <c r="H22" s="297" t="s">
        <v>716</v>
      </c>
      <c r="I22" s="296" t="s">
        <v>1059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565</v>
      </c>
      <c r="H23" s="297" t="s">
        <v>700</v>
      </c>
      <c r="I23" s="296" t="s">
        <v>744</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566</v>
      </c>
      <c r="H24" s="297" t="s">
        <v>701</v>
      </c>
      <c r="I24" s="296" t="s">
        <v>745</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567</v>
      </c>
      <c r="H25" s="297" t="s">
        <v>702</v>
      </c>
      <c r="I25" s="296" t="s">
        <v>568</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569</v>
      </c>
      <c r="H27" s="297" t="s">
        <v>703</v>
      </c>
      <c r="I27" s="296" t="s">
        <v>570</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571</v>
      </c>
      <c r="H28" s="297" t="s">
        <v>704</v>
      </c>
      <c r="I28" s="296" t="s">
        <v>572</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573</v>
      </c>
      <c r="H29" s="297" t="s">
        <v>705</v>
      </c>
      <c r="I29" s="296" t="s">
        <v>1112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574</v>
      </c>
      <c r="H30" s="297" t="s">
        <v>706</v>
      </c>
      <c r="I30" s="296" t="s">
        <v>1105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575</v>
      </c>
      <c r="H31" s="297" t="s">
        <v>688</v>
      </c>
      <c r="I31" s="296" t="s">
        <v>1060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576</v>
      </c>
      <c r="H32" s="297" t="s">
        <v>699</v>
      </c>
      <c r="I32" s="296" t="s">
        <v>564</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577</v>
      </c>
      <c r="H33" s="297" t="s">
        <v>707</v>
      </c>
      <c r="I33" s="296" t="s">
        <v>746</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578</v>
      </c>
      <c r="H34" s="297" t="s">
        <v>708</v>
      </c>
      <c r="I34" s="296" t="s">
        <v>579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580</v>
      </c>
      <c r="H35" s="297" t="s">
        <v>692</v>
      </c>
      <c r="I35" s="296" t="s">
        <v>553</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582</v>
      </c>
      <c r="H37" s="297" t="s">
        <v>710</v>
      </c>
      <c r="I37" s="296" t="s">
        <v>760</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583</v>
      </c>
      <c r="H38" s="297" t="s">
        <v>711</v>
      </c>
      <c r="I38" s="296" t="s">
        <v>630</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584</v>
      </c>
      <c r="H39" s="297" t="s">
        <v>712</v>
      </c>
      <c r="I39" s="296" t="s">
        <v>1061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585</v>
      </c>
      <c r="H40" s="297" t="s">
        <v>713</v>
      </c>
      <c r="I40" s="296" t="s">
        <v>1109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586</v>
      </c>
      <c r="H41" s="297" t="s">
        <v>1066</v>
      </c>
      <c r="I41" s="296" t="s">
        <v>1062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587</v>
      </c>
      <c r="H42" s="297" t="s">
        <v>715</v>
      </c>
      <c r="I42" s="296" t="s">
        <v>1104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589</v>
      </c>
      <c r="H43" s="297" t="s">
        <v>1068</v>
      </c>
      <c r="I43" s="296" t="s">
        <v>747</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590</v>
      </c>
      <c r="H44" s="297" t="s">
        <v>714</v>
      </c>
      <c r="I44" s="296" t="s">
        <v>588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591</v>
      </c>
      <c r="H46" s="297" t="s">
        <v>718</v>
      </c>
      <c r="I46" s="296" t="s">
        <v>1063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592</v>
      </c>
      <c r="H47" s="297" t="s">
        <v>717</v>
      </c>
      <c r="I47" s="296" t="s">
        <v>1107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593</v>
      </c>
      <c r="H48" s="297" t="s">
        <v>719</v>
      </c>
      <c r="I48" s="296" t="s">
        <v>1060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594</v>
      </c>
      <c r="H49" s="297" t="s">
        <v>720</v>
      </c>
      <c r="I49" s="296" t="s">
        <v>631</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595</v>
      </c>
      <c r="H50" s="297" t="s">
        <v>721</v>
      </c>
      <c r="I50" s="296" t="s">
        <v>1060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596</v>
      </c>
      <c r="H51" s="297" t="s">
        <v>395</v>
      </c>
      <c r="I51" s="296" t="s">
        <v>1064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597</v>
      </c>
      <c r="H52" s="297" t="s">
        <v>723</v>
      </c>
      <c r="I52" s="296" t="s">
        <v>632</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598</v>
      </c>
      <c r="H54" s="297" t="s">
        <v>722</v>
      </c>
      <c r="I54" s="296" t="s">
        <v>1141</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599</v>
      </c>
      <c r="H55" s="297" t="s">
        <v>725</v>
      </c>
      <c r="I55" s="296" t="s">
        <v>600</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601</v>
      </c>
      <c r="H56" s="297" t="s">
        <v>1069</v>
      </c>
      <c r="I56" s="296" t="s">
        <v>1113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602</v>
      </c>
      <c r="H57" s="297" t="s">
        <v>726</v>
      </c>
      <c r="I57" s="296" t="s">
        <v>603</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604</v>
      </c>
      <c r="H58" s="297" t="s">
        <v>724</v>
      </c>
      <c r="I58" s="296" t="s">
        <v>564</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605</v>
      </c>
      <c r="H59" s="297" t="s">
        <v>728</v>
      </c>
      <c r="I59" s="296" t="s">
        <v>748</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606</v>
      </c>
      <c r="H61" s="297" t="s">
        <v>729</v>
      </c>
      <c r="I61" s="296" t="s">
        <v>607</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608</v>
      </c>
      <c r="H62" s="297" t="s">
        <v>733</v>
      </c>
      <c r="I62" s="296" t="s">
        <v>1065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610</v>
      </c>
      <c r="H63" s="297" t="s">
        <v>1070</v>
      </c>
      <c r="I63" s="296" t="s">
        <v>749</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611</v>
      </c>
      <c r="H64" s="297" t="s">
        <v>731</v>
      </c>
      <c r="I64" s="296" t="s">
        <v>633</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612</v>
      </c>
      <c r="H65" s="297" t="s">
        <v>732</v>
      </c>
      <c r="I65" s="296" t="s">
        <v>613</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614</v>
      </c>
      <c r="H67" s="297" t="s">
        <v>1071</v>
      </c>
      <c r="I67" s="296" t="s">
        <v>750</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615</v>
      </c>
      <c r="H68" s="297" t="s">
        <v>734</v>
      </c>
      <c r="I68" s="296" t="s">
        <v>616</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617</v>
      </c>
      <c r="H69" s="297" t="s">
        <v>735</v>
      </c>
      <c r="I69" s="296" t="s">
        <v>618</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619</v>
      </c>
      <c r="H70" s="297" t="s">
        <v>736</v>
      </c>
      <c r="I70" s="296" t="s">
        <v>761</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620</v>
      </c>
      <c r="H72" s="297" t="s">
        <v>737</v>
      </c>
      <c r="I72" s="296" t="s">
        <v>621</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622</v>
      </c>
      <c r="H73" s="297" t="s">
        <v>738</v>
      </c>
      <c r="I73" s="296" t="s">
        <v>558</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623</v>
      </c>
      <c r="H74" s="297" t="s">
        <v>739</v>
      </c>
      <c r="I74" s="296" t="s">
        <v>762</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624</v>
      </c>
      <c r="H76" s="297" t="s">
        <v>730</v>
      </c>
      <c r="I76" s="296" t="s">
        <v>609</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626</v>
      </c>
      <c r="H77" s="297" t="s">
        <v>740</v>
      </c>
      <c r="I77" s="296" t="s">
        <v>625</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627</v>
      </c>
      <c r="H79" s="297" t="s">
        <v>741</v>
      </c>
      <c r="I79" s="296" t="s">
        <v>628</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1012</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775</v>
      </c>
      <c r="C3" s="138" t="s">
        <v>2</v>
      </c>
      <c r="D3" s="138" t="s">
        <v>7</v>
      </c>
      <c r="E3" s="138" t="s">
        <v>3</v>
      </c>
      <c r="F3" s="138" t="s">
        <v>4</v>
      </c>
      <c r="G3" s="138" t="s">
        <v>776</v>
      </c>
      <c r="H3" s="138" t="s">
        <v>275</v>
      </c>
      <c r="I3" s="138" t="s">
        <v>226</v>
      </c>
      <c r="J3" s="138" t="s">
        <v>23</v>
      </c>
      <c r="K3" s="138" t="s">
        <v>0</v>
      </c>
      <c r="L3" s="138" t="s">
        <v>312</v>
      </c>
      <c r="M3" s="138" t="s">
        <v>308</v>
      </c>
      <c r="N3" s="138" t="s">
        <v>973</v>
      </c>
      <c r="O3" s="138" t="s">
        <v>315</v>
      </c>
      <c r="P3" s="138" t="s">
        <v>218</v>
      </c>
      <c r="Q3" s="138" t="s">
        <v>316</v>
      </c>
      <c r="R3" s="138" t="s">
        <v>974</v>
      </c>
      <c r="S3" s="138" t="s">
        <v>975</v>
      </c>
      <c r="T3" s="138" t="s">
        <v>976</v>
      </c>
      <c r="U3" s="138" t="s">
        <v>977</v>
      </c>
      <c r="V3" s="138" t="s">
        <v>978</v>
      </c>
      <c r="W3" s="138" t="s">
        <v>979</v>
      </c>
      <c r="X3" s="138" t="s">
        <v>777</v>
      </c>
      <c r="Y3" s="138" t="s">
        <v>210</v>
      </c>
      <c r="Z3" s="138" t="s">
        <v>212</v>
      </c>
      <c r="AA3" s="138" t="s">
        <v>213</v>
      </c>
      <c r="AB3" s="138" t="s">
        <v>214</v>
      </c>
      <c r="AC3" s="138" t="s">
        <v>215</v>
      </c>
      <c r="AD3" s="138" t="s">
        <v>216</v>
      </c>
      <c r="AE3" s="138" t="s">
        <v>792</v>
      </c>
      <c r="AF3" s="138" t="s">
        <v>1042</v>
      </c>
      <c r="AG3" s="138" t="s">
        <v>940</v>
      </c>
      <c r="AH3" s="138" t="s">
        <v>941</v>
      </c>
      <c r="AI3" s="138" t="s">
        <v>942</v>
      </c>
      <c r="AJ3" s="138" t="s">
        <v>943</v>
      </c>
      <c r="AK3" s="138" t="s">
        <v>944</v>
      </c>
      <c r="AL3" s="138" t="s">
        <v>793</v>
      </c>
      <c r="AM3" s="258" t="s">
        <v>945</v>
      </c>
      <c r="AN3" s="258" t="s">
        <v>946</v>
      </c>
      <c r="AO3" s="258" t="s">
        <v>947</v>
      </c>
      <c r="AP3" s="258" t="s">
        <v>948</v>
      </c>
      <c r="AQ3" s="258" t="s">
        <v>794</v>
      </c>
      <c r="AR3" s="258" t="s">
        <v>949</v>
      </c>
      <c r="AS3" s="258" t="s">
        <v>950</v>
      </c>
      <c r="AT3" s="258" t="s">
        <v>951</v>
      </c>
      <c r="AU3" s="258" t="s">
        <v>952</v>
      </c>
      <c r="AV3" s="258" t="s">
        <v>868</v>
      </c>
      <c r="AW3" s="258" t="s">
        <v>953</v>
      </c>
      <c r="AX3" s="258" t="s">
        <v>954</v>
      </c>
      <c r="AY3" s="258" t="s">
        <v>955</v>
      </c>
      <c r="AZ3" s="258" t="s">
        <v>956</v>
      </c>
      <c r="BA3" s="258" t="s">
        <v>869</v>
      </c>
      <c r="BB3" s="258" t="s">
        <v>957</v>
      </c>
      <c r="BC3" s="258" t="s">
        <v>958</v>
      </c>
      <c r="BD3" s="258" t="s">
        <v>959</v>
      </c>
      <c r="BE3" s="258" t="s">
        <v>960</v>
      </c>
      <c r="BF3" s="258" t="s">
        <v>1043</v>
      </c>
      <c r="BG3" s="258" t="s">
        <v>961</v>
      </c>
      <c r="BH3" s="258" t="s">
        <v>962</v>
      </c>
      <c r="BI3" s="258" t="s">
        <v>963</v>
      </c>
      <c r="BJ3" s="258" t="s">
        <v>964</v>
      </c>
      <c r="BK3" s="258" t="s">
        <v>1044</v>
      </c>
      <c r="BL3" s="258" t="s">
        <v>965</v>
      </c>
      <c r="BM3" s="258" t="s">
        <v>966</v>
      </c>
      <c r="BN3" s="258" t="s">
        <v>967</v>
      </c>
      <c r="BO3" s="258" t="s">
        <v>968</v>
      </c>
      <c r="BP3" s="258" t="s">
        <v>1045</v>
      </c>
      <c r="BQ3" s="258" t="s">
        <v>969</v>
      </c>
      <c r="BR3" s="258" t="s">
        <v>970</v>
      </c>
      <c r="BS3" s="258" t="s">
        <v>971</v>
      </c>
      <c r="BT3" s="258" t="s">
        <v>972</v>
      </c>
      <c r="BU3" s="138" t="s">
        <v>1046</v>
      </c>
      <c r="BV3" s="305" t="s">
        <v>310</v>
      </c>
      <c r="BW3" s="138" t="s">
        <v>980</v>
      </c>
      <c r="BX3" s="138" t="s">
        <v>1047</v>
      </c>
      <c r="BY3" s="138" t="s">
        <v>981</v>
      </c>
      <c r="BZ3" s="138" t="s">
        <v>311</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250</v>
      </c>
      <c r="I4" s="183">
        <f ca="1">TblPop[[#This Row],[Employment]]</f>
        <v>1</v>
      </c>
      <c r="J4" s="183">
        <f ca="1">TblPop[[#This Row],[Total]]/TblPop[[#This Row],[Net max]]</f>
        <v>0.67854113655640369</v>
      </c>
      <c r="K4" s="306">
        <f>TblRezone[[#This Row],[Hour]]</f>
        <v>1</v>
      </c>
      <c r="L4" s="307">
        <f>TblImps[[#This Row],[Real time]]</f>
        <v>45281</v>
      </c>
      <c r="M4" s="62">
        <f>IF(ISERROR(TblImps[[#This Row],[algorithm]]),0,TblImps[[#This Row],[algorithm]]*1)</f>
        <v>1</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b">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1</v>
      </c>
      <c r="BW4" s="62">
        <f>TblImps[[#This Row],[Login]]</f>
        <v>1</v>
      </c>
      <c r="BX4" s="140"/>
      <c r="BY4" s="312">
        <f>Overview!E15</f>
        <v>45281</v>
      </c>
      <c r="BZ4" s="313">
        <f>Overview!B15</f>
        <v>45281</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263</v>
      </c>
      <c r="I5" s="183">
        <f ca="1">TblPop[[#This Row],[Employment]]</f>
        <v>1</v>
      </c>
      <c r="J5" s="183">
        <f ca="1">TblPop[[#This Row],[Total]]/TblPop[[#This Row],[Net max]]</f>
        <v>0.69508057675996604</v>
      </c>
      <c r="K5" s="306">
        <f>TblRezone[[#This Row],[Hour]]</f>
        <v>2</v>
      </c>
      <c r="L5" s="307">
        <f ca="1">TblImps[[#This Row],[Real time]]</f>
        <v>45281.041666666664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45281.041666666664</v>
      </c>
      <c r="BZ5" s="317">
        <f ca="1">OFFSET(TblImps[[#This Row],[Servertime]],-1,0)+1/24</f>
        <v>45281.041666666664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276</v>
      </c>
      <c r="I6" s="183">
        <f ca="1">TblPop[[#This Row],[Employment]]</f>
        <v>1</v>
      </c>
      <c r="J6" s="183">
        <f ca="1">TblPop[[#This Row],[Total]]/TblPop[[#This Row],[Net max]]</f>
        <v>0.71162001696352839</v>
      </c>
      <c r="K6" s="306">
        <f>TblRezone[[#This Row],[Hour]]</f>
        <v>3</v>
      </c>
      <c r="L6" s="307">
        <f ca="1">TblImps[[#This Row],[Real time]]</f>
        <v>45281.083333333328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45281.083333333328</v>
      </c>
      <c r="BZ6" s="317">
        <f ca="1">OFFSET(TblImps[[#This Row],[Servertime]],-1,0)+1/24</f>
        <v>45281.083333333328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290</v>
      </c>
      <c r="I7" s="183">
        <f ca="1">TblPop[[#This Row],[Employment]]</f>
        <v>1</v>
      </c>
      <c r="J7" s="183">
        <f ca="1">TblPop[[#This Row],[Total]]/TblPop[[#This Row],[Net max]]</f>
        <v>0.72858354537743852</v>
      </c>
      <c r="K7" s="306">
        <f>TblRezone[[#This Row],[Hour]]</f>
        <v>4</v>
      </c>
      <c r="L7" s="307">
        <f ca="1">TblImps[[#This Row],[Real time]]</f>
        <v>45281.124999999993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45281.124999999993</v>
      </c>
      <c r="BZ7" s="317">
        <f ca="1">OFFSET(TblImps[[#This Row],[Servertime]],-1,0)+1/24</f>
        <v>45281.124999999993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304</v>
      </c>
      <c r="I8" s="183">
        <f ca="1">TblPop[[#This Row],[Employment]]</f>
        <v>1</v>
      </c>
      <c r="J8" s="183">
        <f ca="1">TblPop[[#This Row],[Total]]/TblPop[[#This Row],[Net max]]</f>
        <v>0.74597116200169633</v>
      </c>
      <c r="K8" s="306">
        <f>TblRezone[[#This Row],[Hour]]</f>
        <v>5</v>
      </c>
      <c r="L8" s="307">
        <f ca="1">TblImps[[#This Row],[Real time]]</f>
        <v>45281.166666666657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45281.166666666657</v>
      </c>
      <c r="BZ8" s="317">
        <f ca="1">OFFSET(TblImps[[#This Row],[Servertime]],-1,0)+1/24</f>
        <v>45281.166666666657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318</v>
      </c>
      <c r="I9" s="183">
        <f ca="1">TblPop[[#This Row],[Employment]]</f>
        <v>1</v>
      </c>
      <c r="J9" s="183">
        <f ca="1">TblPop[[#This Row],[Total]]/TblPop[[#This Row],[Net max]]</f>
        <v>0.76378286683630192</v>
      </c>
      <c r="K9" s="306">
        <f>TblRezone[[#This Row],[Hour]]</f>
        <v>6</v>
      </c>
      <c r="L9" s="307">
        <f ca="1">TblImps[[#This Row],[Real time]]</f>
        <v>45281.208333333321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45281.208333333321</v>
      </c>
      <c r="BZ9" s="317">
        <f ca="1">OFFSET(TblImps[[#This Row],[Servertime]],-1,0)+1/24</f>
        <v>45281.208333333321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332</v>
      </c>
      <c r="I10" s="183">
        <f ca="1">TblPop[[#This Row],[Employment]]</f>
        <v>1</v>
      </c>
      <c r="J10" s="183">
        <f ca="1">TblPop[[#This Row],[Total]]/TblPop[[#This Row],[Net max]]</f>
        <v>0.7820186598812553</v>
      </c>
      <c r="K10" s="306">
        <f>TblRezone[[#This Row],[Hour]]</f>
        <v>7</v>
      </c>
      <c r="L10" s="307">
        <f ca="1">TblImps[[#This Row],[Real time]]</f>
        <v>45281.249999999985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45281.249999999985</v>
      </c>
      <c r="BZ10" s="317">
        <f ca="1">OFFSET(TblImps[[#This Row],[Servertime]],-1,0)+1/24</f>
        <v>45281.249999999985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347</v>
      </c>
      <c r="I11" s="183">
        <f ca="1">TblPop[[#This Row],[Employment]]</f>
        <v>1</v>
      </c>
      <c r="J11" s="183">
        <f ca="1">TblPop[[#This Row],[Total]]/TblPop[[#This Row],[Net max]]</f>
        <v>0.80025445292620867</v>
      </c>
      <c r="K11" s="306">
        <f>TblRezone[[#This Row],[Hour]]</f>
        <v>8</v>
      </c>
      <c r="L11" s="307">
        <f ca="1">TblImps[[#This Row],[Real time]]</f>
        <v>45281.29166666665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45281.29166666665</v>
      </c>
      <c r="BZ11" s="317">
        <f ca="1">OFFSET(TblImps[[#This Row],[Servertime]],-1,0)+1/24</f>
        <v>45281.29166666665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362</v>
      </c>
      <c r="I12" s="183">
        <f ca="1">TblPop[[#This Row],[Employment]]</f>
        <v>1</v>
      </c>
      <c r="J12" s="183">
        <f ca="1">TblPop[[#This Row],[Total]]/TblPop[[#This Row],[Net max]]</f>
        <v>0.81891433418150972</v>
      </c>
      <c r="K12" s="306">
        <f>TblRezone[[#This Row],[Hour]]</f>
        <v>9</v>
      </c>
      <c r="L12" s="307">
        <f ca="1">TblImps[[#This Row],[Real time]]</f>
        <v>45281.333333333314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45281.333333333314</v>
      </c>
      <c r="BZ12" s="317">
        <f ca="1">OFFSET(TblImps[[#This Row],[Servertime]],-1,0)+1/24</f>
        <v>45281.333333333314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377</v>
      </c>
      <c r="I13" s="183">
        <f ca="1">TblPop[[#This Row],[Employment]]</f>
        <v>1</v>
      </c>
      <c r="J13" s="183">
        <f ca="1">TblPop[[#This Row],[Total]]/TblPop[[#This Row],[Net max]]</f>
        <v>0.83799830364715866</v>
      </c>
      <c r="K13" s="306">
        <f>TblRezone[[#This Row],[Hour]]</f>
        <v>10</v>
      </c>
      <c r="L13" s="307">
        <f ca="1">TblImps[[#This Row],[Real time]]</f>
        <v>45281.374999999978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45281.374999999978</v>
      </c>
      <c r="BZ13" s="317">
        <f ca="1">OFFSET(TblImps[[#This Row],[Servertime]],-1,0)+1/24</f>
        <v>45281.374999999978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392</v>
      </c>
      <c r="I14" s="183">
        <f ca="1">TblPop[[#This Row],[Employment]]</f>
        <v>1</v>
      </c>
      <c r="J14" s="183">
        <f ca="1">TblPop[[#This Row],[Total]]/TblPop[[#This Row],[Net max]]</f>
        <v>0.85750636132315516</v>
      </c>
      <c r="K14" s="306">
        <f>TblRezone[[#This Row],[Hour]]</f>
        <v>11</v>
      </c>
      <c r="L14" s="307">
        <f ca="1">TblImps[[#This Row],[Real time]]</f>
        <v>45281.416666666642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45281.416666666642</v>
      </c>
      <c r="BZ14" s="317">
        <f ca="1">OFFSET(TblImps[[#This Row],[Servertime]],-1,0)+1/24</f>
        <v>45281.416666666642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408</v>
      </c>
      <c r="I15" s="183">
        <f ca="1">TblPop[[#This Row],[Employment]]</f>
        <v>0.99317194289261324</v>
      </c>
      <c r="J15" s="183">
        <f ca="1">TblPop[[#This Row],[Total]]/TblPop[[#This Row],[Net max]]</f>
        <v>0.87743850720949956</v>
      </c>
      <c r="K15" s="306">
        <f>TblRezone[[#This Row],[Hour]]</f>
        <v>12</v>
      </c>
      <c r="L15" s="307">
        <f ca="1">TblImps[[#This Row],[Real time]]</f>
        <v>45281.458333333307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45281.458333333307</v>
      </c>
      <c r="BZ15" s="317">
        <f ca="1">OFFSET(TblImps[[#This Row],[Servertime]],-1,0)+1/24</f>
        <v>45281.458333333307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424</v>
      </c>
      <c r="I16" s="183">
        <f ca="1">TblPop[[#This Row],[Employment]]</f>
        <v>0.9738283627510651</v>
      </c>
      <c r="J16" s="183">
        <f ca="1">TblPop[[#This Row],[Total]]/TblPop[[#This Row],[Net max]]</f>
        <v>0.89779474130619163</v>
      </c>
      <c r="K16" s="306">
        <f>TblRezone[[#This Row],[Hour]]</f>
        <v>13</v>
      </c>
      <c r="L16" s="307">
        <f ca="1">TblImps[[#This Row],[Real time]]</f>
        <v>45281.499999999971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45281.499999999971</v>
      </c>
      <c r="BZ16" s="317">
        <f ca="1">OFFSET(TblImps[[#This Row],[Servertime]],-1,0)+1/24</f>
        <v>45281.499999999971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440</v>
      </c>
      <c r="I17" s="183">
        <f ca="1">TblPop[[#This Row],[Employment]]</f>
        <v>0.95465393794749398</v>
      </c>
      <c r="J17" s="183">
        <f ca="1">TblPop[[#This Row],[Total]]/TblPop[[#This Row],[Net max]]</f>
        <v>0.9185750636132316</v>
      </c>
      <c r="K17" s="306">
        <f>TblRezone[[#This Row],[Hour]]</f>
        <v>14</v>
      </c>
      <c r="L17" s="307">
        <f ca="1">TblImps[[#This Row],[Real time]]</f>
        <v>45281.541666666635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45281.541666666635</v>
      </c>
      <c r="BZ17" s="317">
        <f ca="1">OFFSET(TblImps[[#This Row],[Servertime]],-1,0)+1/24</f>
        <v>45281.541666666635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457</v>
      </c>
      <c r="I18" s="183">
        <f ca="1">TblPop[[#This Row],[Employment]]</f>
        <v>0.93622001170275015</v>
      </c>
      <c r="J18" s="183">
        <f ca="1">TblPop[[#This Row],[Total]]/TblPop[[#This Row],[Net max]]</f>
        <v>0.93977947413061913</v>
      </c>
      <c r="K18" s="306">
        <f>TblRezone[[#This Row],[Hour]]</f>
        <v>15</v>
      </c>
      <c r="L18" s="307">
        <f ca="1">TblImps[[#This Row],[Real time]]</f>
        <v>45281.583333333299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45281.583333333299</v>
      </c>
      <c r="BZ18" s="317">
        <f ca="1">OFFSET(TblImps[[#This Row],[Servertime]],-1,0)+1/24</f>
        <v>45281.583333333299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474</v>
      </c>
      <c r="I19" s="183">
        <f ca="1">TblPop[[#This Row],[Employment]]</f>
        <v>0.91795754446356859</v>
      </c>
      <c r="J19" s="183">
        <f ca="1">TblPop[[#This Row],[Total]]/TblPop[[#This Row],[Net max]]</f>
        <v>0.96140797285835455</v>
      </c>
      <c r="K19" s="306">
        <f>TblRezone[[#This Row],[Hour]]</f>
        <v>16</v>
      </c>
      <c r="L19" s="307">
        <f ca="1">TblImps[[#This Row],[Real time]]</f>
        <v>45281.624999999964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45281.624999999964</v>
      </c>
      <c r="BZ19" s="317">
        <f ca="1">OFFSET(TblImps[[#This Row],[Servertime]],-1,0)+1/24</f>
        <v>45281.624999999964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491</v>
      </c>
      <c r="I20" s="183">
        <f ca="1">TblPop[[#This Row],[Employment]]</f>
        <v>0.89988751406074241</v>
      </c>
      <c r="J20" s="183">
        <f ca="1">TblPop[[#This Row],[Total]]/TblPop[[#This Row],[Net max]]</f>
        <v>0.98346055979643765</v>
      </c>
      <c r="K20" s="306">
        <f>TblRezone[[#This Row],[Hour]]</f>
        <v>17</v>
      </c>
      <c r="L20" s="307">
        <f ca="1">TblImps[[#This Row],[Real time]]</f>
        <v>45281.666666666628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45281.666666666628</v>
      </c>
      <c r="BZ20" s="317">
        <f ca="1">OFFSET(TblImps[[#This Row],[Servertime]],-1,0)+1/24</f>
        <v>45281.666666666628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509</v>
      </c>
      <c r="I21" s="183">
        <f ca="1">TblPop[[#This Row],[Employment]]</f>
        <v>0.88938299055030567</v>
      </c>
      <c r="J21" s="183">
        <f ca="1">TblPop[[#This Row],[Total]]/TblPop[[#This Row],[Net max]]</f>
        <v>1</v>
      </c>
      <c r="K21" s="306">
        <f>TblRezone[[#This Row],[Hour]]</f>
        <v>18</v>
      </c>
      <c r="L21" s="307">
        <f ca="1">TblImps[[#This Row],[Real time]]</f>
        <v>45281.708333333292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45281.708333333292</v>
      </c>
      <c r="BZ21" s="317">
        <f ca="1">OFFSET(TblImps[[#This Row],[Servertime]],-1,0)+1/24</f>
        <v>45281.708333333292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527</v>
      </c>
      <c r="I22" s="183">
        <f ca="1">TblPop[[#This Row],[Employment]]</f>
        <v>0.89837170129140931</v>
      </c>
      <c r="J22" s="183">
        <f ca="1">TblPop[[#This Row],[Total]]/TblPop[[#This Row],[Net max]]</f>
        <v>1</v>
      </c>
      <c r="K22" s="306">
        <f>TblRezone[[#This Row],[Hour]]</f>
        <v>19</v>
      </c>
      <c r="L22" s="307">
        <f ca="1">TblImps[[#This Row],[Real time]]</f>
        <v>45281.749999999956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45281.749999999956</v>
      </c>
      <c r="BZ22" s="317">
        <f ca="1">OFFSET(TblImps[[#This Row],[Servertime]],-1,0)+1/24</f>
        <v>45281.749999999956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545</v>
      </c>
      <c r="I23" s="183">
        <f ca="1">TblPop[[#This Row],[Employment]]</f>
        <v>0.90754395916052188</v>
      </c>
      <c r="J23" s="183">
        <f ca="1">TblPop[[#This Row],[Total]]/TblPop[[#This Row],[Net max]]</f>
        <v>1</v>
      </c>
      <c r="K23" s="306">
        <f>TblRezone[[#This Row],[Hour]]</f>
        <v>20</v>
      </c>
      <c r="L23" s="307">
        <f ca="1">TblImps[[#This Row],[Real time]]</f>
        <v>45281.791666666621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45281.791666666621</v>
      </c>
      <c r="BZ23" s="317">
        <f ca="1">OFFSET(TblImps[[#This Row],[Servertime]],-1,0)+1/24</f>
        <v>45281.791666666621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563</v>
      </c>
      <c r="I24" s="183">
        <f ca="1">TblPop[[#This Row],[Employment]]</f>
        <v>0.91690544412607455</v>
      </c>
      <c r="J24" s="183">
        <f ca="1">TblPop[[#This Row],[Total]]/TblPop[[#This Row],[Net max]]</f>
        <v>1</v>
      </c>
      <c r="K24" s="306">
        <f>TblRezone[[#This Row],[Hour]]</f>
        <v>21</v>
      </c>
      <c r="L24" s="307">
        <f ca="1">TblImps[[#This Row],[Real time]]</f>
        <v>45281.833333333285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45281.833333333285</v>
      </c>
      <c r="BZ24" s="317">
        <f ca="1">OFFSET(TblImps[[#This Row],[Servertime]],-1,0)+1/24</f>
        <v>45281.833333333285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580</v>
      </c>
      <c r="I25" s="183">
        <f ca="1">TblPop[[#This Row],[Employment]]</f>
        <v>0.92592592592592593</v>
      </c>
      <c r="J25" s="183">
        <f ca="1">TblPop[[#This Row],[Total]]/TblPop[[#This Row],[Net max]]</f>
        <v>1</v>
      </c>
      <c r="K25" s="306">
        <f>TblRezone[[#This Row],[Hour]]</f>
        <v>22</v>
      </c>
      <c r="L25" s="307">
        <f ca="1">TblImps[[#This Row],[Real time]]</f>
        <v>45281.874999999949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45281.874999999949</v>
      </c>
      <c r="BZ25" s="317">
        <f ca="1">OFFSET(TblImps[[#This Row],[Servertime]],-1,0)+1/24</f>
        <v>45281.874999999949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597</v>
      </c>
      <c r="I26" s="183">
        <f ca="1">TblPop[[#This Row],[Employment]]</f>
        <v>0.93512565751022791</v>
      </c>
      <c r="J26" s="183">
        <f ca="1">TblPop[[#This Row],[Total]]/TblPop[[#This Row],[Net max]]</f>
        <v>1</v>
      </c>
      <c r="K26" s="306">
        <f>TblRezone[[#This Row],[Hour]]</f>
        <v>23</v>
      </c>
      <c r="L26" s="307">
        <f ca="1">TblImps[[#This Row],[Real time]]</f>
        <v>45281.916666666613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45281.916666666613</v>
      </c>
      <c r="BZ26" s="317">
        <f ca="1">OFFSET(TblImps[[#This Row],[Servertime]],-1,0)+1/24</f>
        <v>45281.916666666613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614</v>
      </c>
      <c r="I27" s="183">
        <f ca="1">TblPop[[#This Row],[Employment]]</f>
        <v>0.94451003541912637</v>
      </c>
      <c r="J27" s="183">
        <f ca="1">TblPop[[#This Row],[Total]]/TblPop[[#This Row],[Net max]]</f>
        <v>1</v>
      </c>
      <c r="K27" s="306">
        <f>TblRezone[[#This Row],[Hour]]</f>
        <v>24</v>
      </c>
      <c r="L27" s="307">
        <f ca="1">TblImps[[#This Row],[Real time]]</f>
        <v>45281.958333333278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45281.958333333278</v>
      </c>
      <c r="BZ27" s="317">
        <f ca="1">OFFSET(TblImps[[#This Row],[Servertime]],-1,0)+1/24</f>
        <v>45281.958333333278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631</v>
      </c>
      <c r="I28" s="183">
        <f ca="1">TblPop[[#This Row],[Employment]]</f>
        <v>0.95408467501490757</v>
      </c>
      <c r="J28" s="183">
        <f ca="1">TblPop[[#This Row],[Total]]/TblPop[[#This Row],[Net max]]</f>
        <v>1</v>
      </c>
      <c r="K28" s="306">
        <f>TblRezone[[#This Row],[Hour]]</f>
        <v>25</v>
      </c>
      <c r="L28" s="307">
        <f ca="1">TblImps[[#This Row],[Real time]]</f>
        <v>45281.999999999942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45281.999999999942</v>
      </c>
      <c r="BZ28" s="317">
        <f ca="1">OFFSET(TblImps[[#This Row],[Servertime]],-1,0)+1/24</f>
        <v>45281.999999999942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648</v>
      </c>
      <c r="I29" s="183">
        <f ca="1">TblPop[[#This Row],[Employment]]</f>
        <v>0.96385542168674698</v>
      </c>
      <c r="J29" s="183">
        <f ca="1">TblPop[[#This Row],[Total]]/TblPop[[#This Row],[Net max]]</f>
        <v>1</v>
      </c>
      <c r="K29" s="306">
        <f>TblRezone[[#This Row],[Hour]]</f>
        <v>26</v>
      </c>
      <c r="L29" s="307">
        <f ca="1">TblImps[[#This Row],[Real time]]</f>
        <v>45282.041666666606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45282.041666666606</v>
      </c>
      <c r="BZ29" s="317">
        <f ca="1">OFFSET(TblImps[[#This Row],[Servertime]],-1,0)+1/24</f>
        <v>45282.041666666606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665</v>
      </c>
      <c r="I30" s="183">
        <f ca="1">TblPop[[#This Row],[Employment]]</f>
        <v>0.9738283627510651</v>
      </c>
      <c r="J30" s="183">
        <f ca="1">TblPop[[#This Row],[Total]]/TblPop[[#This Row],[Net max]]</f>
        <v>1</v>
      </c>
      <c r="K30" s="306">
        <f>TblRezone[[#This Row],[Hour]]</f>
        <v>27</v>
      </c>
      <c r="L30" s="307">
        <f ca="1">TblImps[[#This Row],[Real time]]</f>
        <v>45282.08333333327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45282.08333333327</v>
      </c>
      <c r="BZ30" s="317">
        <f ca="1">OFFSET(TblImps[[#This Row],[Servertime]],-1,0)+1/24</f>
        <v>45282.08333333327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681</v>
      </c>
      <c r="I31" s="183">
        <f ca="1">TblPop[[#This Row],[Employment]]</f>
        <v>0.98340503995082973</v>
      </c>
      <c r="J31" s="183">
        <f ca="1">TblPop[[#This Row],[Total]]/TblPop[[#This Row],[Net max]]</f>
        <v>1</v>
      </c>
      <c r="K31" s="306">
        <f>TblRezone[[#This Row],[Hour]]</f>
        <v>28</v>
      </c>
      <c r="L31" s="307">
        <f ca="1">TblImps[[#This Row],[Real time]]</f>
        <v>45282.124999999935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45282.124999999935</v>
      </c>
      <c r="BZ31" s="317">
        <f ca="1">OFFSET(TblImps[[#This Row],[Servertime]],-1,0)+1/24</f>
        <v>45282.124999999935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697</v>
      </c>
      <c r="I32" s="183">
        <f ca="1">TblPop[[#This Row],[Employment]]</f>
        <v>0.99317194289261324</v>
      </c>
      <c r="J32" s="183">
        <f ca="1">TblPop[[#This Row],[Total]]/TblPop[[#This Row],[Net max]]</f>
        <v>1</v>
      </c>
      <c r="K32" s="306">
        <f>TblRezone[[#This Row],[Hour]]</f>
        <v>29</v>
      </c>
      <c r="L32" s="307">
        <f ca="1">TblImps[[#This Row],[Real time]]</f>
        <v>45282.166666666599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45282.166666666599</v>
      </c>
      <c r="BZ32" s="317">
        <f ca="1">OFFSET(TblImps[[#This Row],[Servertime]],-1,0)+1/24</f>
        <v>45282.166666666599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713</v>
      </c>
      <c r="I33" s="183">
        <f ca="1">TblPop[[#This Row],[Employment]]</f>
        <v>1</v>
      </c>
      <c r="J33" s="183">
        <f ca="1">TblPop[[#This Row],[Total]]/TblPop[[#This Row],[Net max]]</f>
        <v>1</v>
      </c>
      <c r="K33" s="306">
        <f>TblRezone[[#This Row],[Hour]]</f>
        <v>30</v>
      </c>
      <c r="L33" s="307">
        <f ca="1">TblImps[[#This Row],[Real time]]</f>
        <v>45282.208333333263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45282.208333333263</v>
      </c>
      <c r="BZ33" s="317">
        <f ca="1">OFFSET(TblImps[[#This Row],[Servertime]],-1,0)+1/24</f>
        <v>45282.208333333263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729</v>
      </c>
      <c r="I34" s="183">
        <f ca="1">TblPop[[#This Row],[Employment]]</f>
        <v>1</v>
      </c>
      <c r="J34" s="183">
        <f ca="1">TblPop[[#This Row],[Total]]/TblPop[[#This Row],[Net max]]</f>
        <v>1</v>
      </c>
      <c r="K34" s="306">
        <f>TblRezone[[#This Row],[Hour]]</f>
        <v>31</v>
      </c>
      <c r="L34" s="307">
        <f ca="1">TblImps[[#This Row],[Real time]]</f>
        <v>45282.249999999927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45282.249999999927</v>
      </c>
      <c r="BZ34" s="317">
        <f ca="1">OFFSET(TblImps[[#This Row],[Servertime]],-1,0)+1/24</f>
        <v>45282.249999999927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745</v>
      </c>
      <c r="I35" s="183">
        <f ca="1">TblPop[[#This Row],[Employment]]</f>
        <v>1</v>
      </c>
      <c r="J35" s="183">
        <f ca="1">TblPop[[#This Row],[Total]]/TblPop[[#This Row],[Net max]]</f>
        <v>1</v>
      </c>
      <c r="K35" s="306">
        <f>TblRezone[[#This Row],[Hour]]</f>
        <v>32</v>
      </c>
      <c r="L35" s="307">
        <f ca="1">TblImps[[#This Row],[Real time]]</f>
        <v>45282.291666666591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45282.291666666591</v>
      </c>
      <c r="BZ35" s="317">
        <f ca="1">OFFSET(TblImps[[#This Row],[Servertime]],-1,0)+1/24</f>
        <v>45282.291666666591</v>
      </c>
      <c r="CA35" s="57"/>
      <c r="CB35" s="315"/>
      <c r="CC35" s="315"/>
      <c r="CD35" s="45" t="s">
        <v>210</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761</v>
      </c>
      <c r="I36" s="183">
        <f ca="1">TblPop[[#This Row],[Employment]]</f>
        <v>1</v>
      </c>
      <c r="J36" s="183">
        <f ca="1">TblPop[[#This Row],[Total]]/TblPop[[#This Row],[Net max]]</f>
        <v>1</v>
      </c>
      <c r="K36" s="306">
        <f>TblRezone[[#This Row],[Hour]]</f>
        <v>33</v>
      </c>
      <c r="L36" s="307">
        <f ca="1">TblImps[[#This Row],[Real time]]</f>
        <v>45282.333333333256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45282.333333333256</v>
      </c>
      <c r="BZ36" s="317">
        <f ca="1">OFFSET(TblImps[[#This Row],[Servertime]],-1,0)+1/24</f>
        <v>45282.333333333256</v>
      </c>
      <c r="CA36" s="57"/>
      <c r="CB36" s="315"/>
      <c r="CC36" s="315"/>
      <c r="CD36" s="45" t="s">
        <v>212</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776</v>
      </c>
      <c r="I37" s="183">
        <f ca="1">TblPop[[#This Row],[Employment]]</f>
        <v>1</v>
      </c>
      <c r="J37" s="183">
        <f ca="1">TblPop[[#This Row],[Total]]/TblPop[[#This Row],[Net max]]</f>
        <v>1</v>
      </c>
      <c r="K37" s="306">
        <f>TblRezone[[#This Row],[Hour]]</f>
        <v>34</v>
      </c>
      <c r="L37" s="307">
        <f ca="1">TblImps[[#This Row],[Real time]]</f>
        <v>45282.37499999992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45282.37499999992</v>
      </c>
      <c r="BZ37" s="317">
        <f ca="1">OFFSET(TblImps[[#This Row],[Servertime]],-1,0)+1/24</f>
        <v>45282.37499999992</v>
      </c>
      <c r="CA37" s="57"/>
      <c r="CB37" s="315"/>
      <c r="CC37" s="315"/>
      <c r="CD37" s="45" t="s">
        <v>213</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776</v>
      </c>
      <c r="I38" s="183">
        <f ca="1">TblPop[[#This Row],[Employment]]</f>
        <v>1</v>
      </c>
      <c r="J38" s="183">
        <f ca="1">TblPop[[#This Row],[Total]]/TblPop[[#This Row],[Net max]]</f>
        <v>1</v>
      </c>
      <c r="K38" s="306">
        <f>TblRezone[[#This Row],[Hour]]</f>
        <v>35</v>
      </c>
      <c r="L38" s="307">
        <f ca="1">TblImps[[#This Row],[Real time]]</f>
        <v>45282.416666666584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45282.416666666584</v>
      </c>
      <c r="BZ38" s="317">
        <f ca="1">OFFSET(TblImps[[#This Row],[Servertime]],-1,0)+1/24</f>
        <v>45282.416666666584</v>
      </c>
      <c r="CA38" s="57"/>
      <c r="CB38" s="315"/>
      <c r="CC38" s="315"/>
      <c r="CD38" s="45" t="s">
        <v>214</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776</v>
      </c>
      <c r="I39" s="183">
        <f ca="1">TblPop[[#This Row],[Employment]]</f>
        <v>1</v>
      </c>
      <c r="J39" s="183">
        <f ca="1">TblPop[[#This Row],[Total]]/TblPop[[#This Row],[Net max]]</f>
        <v>1</v>
      </c>
      <c r="K39" s="306">
        <f>TblRezone[[#This Row],[Hour]]</f>
        <v>36</v>
      </c>
      <c r="L39" s="307">
        <f ca="1">TblImps[[#This Row],[Real time]]</f>
        <v>45282.458333333248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45282.458333333248</v>
      </c>
      <c r="BZ39" s="317">
        <f ca="1">OFFSET(TblImps[[#This Row],[Servertime]],-1,0)+1/24</f>
        <v>45282.458333333248</v>
      </c>
      <c r="CA39" s="57"/>
      <c r="CB39" s="315"/>
      <c r="CC39" s="315"/>
      <c r="CD39" s="45" t="s">
        <v>215</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776</v>
      </c>
      <c r="I40" s="183">
        <f ca="1">TblPop[[#This Row],[Employment]]</f>
        <v>1</v>
      </c>
      <c r="J40" s="183">
        <f ca="1">TblPop[[#This Row],[Total]]/TblPop[[#This Row],[Net max]]</f>
        <v>1</v>
      </c>
      <c r="K40" s="306">
        <f>TblRezone[[#This Row],[Hour]]</f>
        <v>37</v>
      </c>
      <c r="L40" s="307">
        <f ca="1">TblImps[[#This Row],[Real time]]</f>
        <v>45282.499999999913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45282.499999999913</v>
      </c>
      <c r="BZ40" s="317">
        <f ca="1">OFFSET(TblImps[[#This Row],[Servertime]],-1,0)+1/24</f>
        <v>45282.499999999913</v>
      </c>
      <c r="CA40" s="57"/>
      <c r="CB40" s="315"/>
      <c r="CC40" s="315"/>
      <c r="CD40" s="45" t="s">
        <v>216</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776</v>
      </c>
      <c r="I41" s="183">
        <f ca="1">TblPop[[#This Row],[Employment]]</f>
        <v>1</v>
      </c>
      <c r="J41" s="183">
        <f ca="1">TblPop[[#This Row],[Total]]/TblPop[[#This Row],[Net max]]</f>
        <v>1</v>
      </c>
      <c r="K41" s="306">
        <f>TblRezone[[#This Row],[Hour]]</f>
        <v>38</v>
      </c>
      <c r="L41" s="307">
        <f ca="1">TblImps[[#This Row],[Real time]]</f>
        <v>45282.541666666577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45282.541666666577</v>
      </c>
      <c r="BZ41" s="317">
        <f ca="1">OFFSET(TblImps[[#This Row],[Servertime]],-1,0)+1/24</f>
        <v>45282.541666666577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776</v>
      </c>
      <c r="I42" s="183">
        <f ca="1">TblPop[[#This Row],[Employment]]</f>
        <v>1</v>
      </c>
      <c r="J42" s="183">
        <f ca="1">TblPop[[#This Row],[Total]]/TblPop[[#This Row],[Net max]]</f>
        <v>1</v>
      </c>
      <c r="K42" s="306">
        <f>TblRezone[[#This Row],[Hour]]</f>
        <v>39</v>
      </c>
      <c r="L42" s="307">
        <f ca="1">TblImps[[#This Row],[Real time]]</f>
        <v>45282.583333333241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45282.583333333241</v>
      </c>
      <c r="BZ42" s="317">
        <f ca="1">OFFSET(TblImps[[#This Row],[Servertime]],-1,0)+1/24</f>
        <v>45282.583333333241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776</v>
      </c>
      <c r="I43" s="183">
        <f ca="1">TblPop[[#This Row],[Employment]]</f>
        <v>1</v>
      </c>
      <c r="J43" s="183">
        <f ca="1">TblPop[[#This Row],[Total]]/TblPop[[#This Row],[Net max]]</f>
        <v>1</v>
      </c>
      <c r="K43" s="306">
        <f>TblRezone[[#This Row],[Hour]]</f>
        <v>40</v>
      </c>
      <c r="L43" s="307">
        <f ca="1">TblImps[[#This Row],[Real time]]</f>
        <v>45282.624999999905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45282.624999999905</v>
      </c>
      <c r="BZ43" s="317">
        <f ca="1">OFFSET(TblImps[[#This Row],[Servertime]],-1,0)+1/24</f>
        <v>45282.624999999905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776</v>
      </c>
      <c r="I44" s="183">
        <f ca="1">TblPop[[#This Row],[Employment]]</f>
        <v>1</v>
      </c>
      <c r="J44" s="183">
        <f ca="1">TblPop[[#This Row],[Total]]/TblPop[[#This Row],[Net max]]</f>
        <v>1</v>
      </c>
      <c r="K44" s="306">
        <f>TblRezone[[#This Row],[Hour]]</f>
        <v>41</v>
      </c>
      <c r="L44" s="307">
        <f ca="1">TblImps[[#This Row],[Real time]]</f>
        <v>45282.66666666657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45282.66666666657</v>
      </c>
      <c r="BZ44" s="317">
        <f ca="1">OFFSET(TblImps[[#This Row],[Servertime]],-1,0)+1/24</f>
        <v>45282.66666666657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776</v>
      </c>
      <c r="I45" s="183">
        <f ca="1">TblPop[[#This Row],[Employment]]</f>
        <v>1</v>
      </c>
      <c r="J45" s="183">
        <f ca="1">TblPop[[#This Row],[Total]]/TblPop[[#This Row],[Net max]]</f>
        <v>1</v>
      </c>
      <c r="K45" s="306">
        <f>TblRezone[[#This Row],[Hour]]</f>
        <v>42</v>
      </c>
      <c r="L45" s="307">
        <f ca="1">TblImps[[#This Row],[Real time]]</f>
        <v>45282.708333333234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45282.708333333234</v>
      </c>
      <c r="BZ45" s="317">
        <f ca="1">OFFSET(TblImps[[#This Row],[Servertime]],-1,0)+1/24</f>
        <v>45282.708333333234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776</v>
      </c>
      <c r="I46" s="183">
        <f ca="1">TblPop[[#This Row],[Employment]]</f>
        <v>1</v>
      </c>
      <c r="J46" s="183">
        <f ca="1">TblPop[[#This Row],[Total]]/TblPop[[#This Row],[Net max]]</f>
        <v>1</v>
      </c>
      <c r="K46" s="306">
        <f>TblRezone[[#This Row],[Hour]]</f>
        <v>43</v>
      </c>
      <c r="L46" s="307">
        <f ca="1">TblImps[[#This Row],[Real time]]</f>
        <v>45282.749999999898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45282.749999999898</v>
      </c>
      <c r="BZ46" s="317">
        <f ca="1">OFFSET(TblImps[[#This Row],[Servertime]],-1,0)+1/24</f>
        <v>45282.749999999898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776</v>
      </c>
      <c r="I47" s="183">
        <f ca="1">TblPop[[#This Row],[Employment]]</f>
        <v>1</v>
      </c>
      <c r="J47" s="183">
        <f ca="1">TblPop[[#This Row],[Total]]/TblPop[[#This Row],[Net max]]</f>
        <v>1</v>
      </c>
      <c r="K47" s="306">
        <f>TblRezone[[#This Row],[Hour]]</f>
        <v>44</v>
      </c>
      <c r="L47" s="307">
        <f ca="1">TblImps[[#This Row],[Real time]]</f>
        <v>45282.791666666562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45282.791666666562</v>
      </c>
      <c r="BZ47" s="317">
        <f ca="1">OFFSET(TblImps[[#This Row],[Servertime]],-1,0)+1/24</f>
        <v>45282.791666666562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776</v>
      </c>
      <c r="I48" s="183">
        <f ca="1">TblPop[[#This Row],[Employment]]</f>
        <v>1</v>
      </c>
      <c r="J48" s="183">
        <f ca="1">TblPop[[#This Row],[Total]]/TblPop[[#This Row],[Net max]]</f>
        <v>1</v>
      </c>
      <c r="K48" s="306">
        <f>TblRezone[[#This Row],[Hour]]</f>
        <v>45</v>
      </c>
      <c r="L48" s="307">
        <f ca="1">TblImps[[#This Row],[Real time]]</f>
        <v>45282.833333333227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45282.833333333227</v>
      </c>
      <c r="BZ48" s="317">
        <f ca="1">OFFSET(TblImps[[#This Row],[Servertime]],-1,0)+1/24</f>
        <v>45282.833333333227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776</v>
      </c>
      <c r="I49" s="183">
        <f ca="1">TblPop[[#This Row],[Employment]]</f>
        <v>1</v>
      </c>
      <c r="J49" s="183">
        <f ca="1">TblPop[[#This Row],[Total]]/TblPop[[#This Row],[Net max]]</f>
        <v>1</v>
      </c>
      <c r="K49" s="306">
        <f>TblRezone[[#This Row],[Hour]]</f>
        <v>46</v>
      </c>
      <c r="L49" s="307">
        <f ca="1">TblImps[[#This Row],[Real time]]</f>
        <v>45282.874999999891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45282.874999999891</v>
      </c>
      <c r="BZ49" s="317">
        <f ca="1">OFFSET(TblImps[[#This Row],[Servertime]],-1,0)+1/24</f>
        <v>45282.874999999891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776</v>
      </c>
      <c r="I50" s="183">
        <f ca="1">TblPop[[#This Row],[Employment]]</f>
        <v>1</v>
      </c>
      <c r="J50" s="183">
        <f ca="1">TblPop[[#This Row],[Total]]/TblPop[[#This Row],[Net max]]</f>
        <v>1</v>
      </c>
      <c r="K50" s="306">
        <f>TblRezone[[#This Row],[Hour]]</f>
        <v>47</v>
      </c>
      <c r="L50" s="307">
        <f ca="1">TblImps[[#This Row],[Real time]]</f>
        <v>45282.916666666555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45282.916666666555</v>
      </c>
      <c r="BZ50" s="317">
        <f ca="1">OFFSET(TblImps[[#This Row],[Servertime]],-1,0)+1/24</f>
        <v>45282.916666666555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776</v>
      </c>
      <c r="I51" s="183">
        <f ca="1">TblPop[[#This Row],[Employment]]</f>
        <v>1</v>
      </c>
      <c r="J51" s="183">
        <f ca="1">TblPop[[#This Row],[Total]]/TblPop[[#This Row],[Net max]]</f>
        <v>1</v>
      </c>
      <c r="K51" s="306">
        <f>TblRezone[[#This Row],[Hour]]</f>
        <v>48</v>
      </c>
      <c r="L51" s="307">
        <f ca="1">TblImps[[#This Row],[Real time]]</f>
        <v>45282.958333333219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45282.958333333219</v>
      </c>
      <c r="BZ51" s="317">
        <f ca="1">OFFSET(TblImps[[#This Row],[Servertime]],-1,0)+1/24</f>
        <v>45282.958333333219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776</v>
      </c>
      <c r="I52" s="183">
        <f ca="1">TblPop[[#This Row],[Employment]]</f>
        <v>1</v>
      </c>
      <c r="J52" s="183">
        <f ca="1">TblPop[[#This Row],[Total]]/TblPop[[#This Row],[Net max]]</f>
        <v>1</v>
      </c>
      <c r="K52" s="306">
        <f>TblRezone[[#This Row],[Hour]]</f>
        <v>49</v>
      </c>
      <c r="L52" s="307">
        <f ca="1">TblImps[[#This Row],[Real time]]</f>
        <v>45282.999999999884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45282.999999999884</v>
      </c>
      <c r="BZ52" s="317">
        <f ca="1">OFFSET(TblImps[[#This Row],[Servertime]],-1,0)+1/24</f>
        <v>45282.999999999884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776</v>
      </c>
      <c r="I53" s="183">
        <f ca="1">TblPop[[#This Row],[Employment]]</f>
        <v>1</v>
      </c>
      <c r="J53" s="183">
        <f ca="1">TblPop[[#This Row],[Total]]/TblPop[[#This Row],[Net max]]</f>
        <v>1</v>
      </c>
      <c r="K53" s="306">
        <f>TblRezone[[#This Row],[Hour]]</f>
        <v>50</v>
      </c>
      <c r="L53" s="307">
        <f ca="1">TblImps[[#This Row],[Real time]]</f>
        <v>45283.041666666548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45283.041666666548</v>
      </c>
      <c r="BZ53" s="317">
        <f ca="1">OFFSET(TblImps[[#This Row],[Servertime]],-1,0)+1/24</f>
        <v>45283.041666666548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776</v>
      </c>
      <c r="I54" s="183">
        <f ca="1">TblPop[[#This Row],[Employment]]</f>
        <v>1</v>
      </c>
      <c r="J54" s="183">
        <f ca="1">TblPop[[#This Row],[Total]]/TblPop[[#This Row],[Net max]]</f>
        <v>1</v>
      </c>
      <c r="K54" s="306">
        <f>TblRezone[[#This Row],[Hour]]</f>
        <v>51</v>
      </c>
      <c r="L54" s="307">
        <f ca="1">TblImps[[#This Row],[Real time]]</f>
        <v>45283.083333333212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45283.083333333212</v>
      </c>
      <c r="BZ54" s="317">
        <f ca="1">OFFSET(TblImps[[#This Row],[Servertime]],-1,0)+1/24</f>
        <v>45283.083333333212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776</v>
      </c>
      <c r="I55" s="183">
        <f ca="1">TblPop[[#This Row],[Employment]]</f>
        <v>1</v>
      </c>
      <c r="J55" s="183">
        <f ca="1">TblPop[[#This Row],[Total]]/TblPop[[#This Row],[Net max]]</f>
        <v>1</v>
      </c>
      <c r="K55" s="306">
        <f>TblRezone[[#This Row],[Hour]]</f>
        <v>52</v>
      </c>
      <c r="L55" s="307">
        <f ca="1">TblImps[[#This Row],[Real time]]</f>
        <v>45283.124999999876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45283.124999999876</v>
      </c>
      <c r="BZ55" s="317">
        <f ca="1">OFFSET(TblImps[[#This Row],[Servertime]],-1,0)+1/24</f>
        <v>45283.124999999876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776</v>
      </c>
      <c r="I56" s="183">
        <f ca="1">TblPop[[#This Row],[Employment]]</f>
        <v>1</v>
      </c>
      <c r="J56" s="183">
        <f ca="1">TblPop[[#This Row],[Total]]/TblPop[[#This Row],[Net max]]</f>
        <v>1</v>
      </c>
      <c r="K56" s="306">
        <f>TblRezone[[#This Row],[Hour]]</f>
        <v>53</v>
      </c>
      <c r="L56" s="307">
        <f ca="1">TblImps[[#This Row],[Real time]]</f>
        <v>45283.166666666541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45283.166666666541</v>
      </c>
      <c r="BZ56" s="317">
        <f ca="1">OFFSET(TblImps[[#This Row],[Servertime]],-1,0)+1/24</f>
        <v>45283.166666666541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776</v>
      </c>
      <c r="I57" s="183">
        <f ca="1">TblPop[[#This Row],[Employment]]</f>
        <v>1</v>
      </c>
      <c r="J57" s="183">
        <f ca="1">TblPop[[#This Row],[Total]]/TblPop[[#This Row],[Net max]]</f>
        <v>1</v>
      </c>
      <c r="K57" s="306">
        <f>TblRezone[[#This Row],[Hour]]</f>
        <v>54</v>
      </c>
      <c r="L57" s="307">
        <f ca="1">TblImps[[#This Row],[Real time]]</f>
        <v>45283.208333333205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45283.208333333205</v>
      </c>
      <c r="BZ57" s="317">
        <f ca="1">OFFSET(TblImps[[#This Row],[Servertime]],-1,0)+1/24</f>
        <v>45283.208333333205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776</v>
      </c>
      <c r="I58" s="183">
        <f ca="1">TblPop[[#This Row],[Employment]]</f>
        <v>1</v>
      </c>
      <c r="J58" s="183">
        <f ca="1">TblPop[[#This Row],[Total]]/TblPop[[#This Row],[Net max]]</f>
        <v>1</v>
      </c>
      <c r="K58" s="306">
        <f>TblRezone[[#This Row],[Hour]]</f>
        <v>55</v>
      </c>
      <c r="L58" s="307">
        <f ca="1">TblImps[[#This Row],[Real time]]</f>
        <v>45283.249999999869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45283.249999999869</v>
      </c>
      <c r="BZ58" s="317">
        <f ca="1">OFFSET(TblImps[[#This Row],[Servertime]],-1,0)+1/24</f>
        <v>45283.249999999869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776</v>
      </c>
      <c r="I59" s="183">
        <f ca="1">TblPop[[#This Row],[Employment]]</f>
        <v>1</v>
      </c>
      <c r="J59" s="183">
        <f ca="1">TblPop[[#This Row],[Total]]/TblPop[[#This Row],[Net max]]</f>
        <v>1</v>
      </c>
      <c r="K59" s="306">
        <f>TblRezone[[#This Row],[Hour]]</f>
        <v>56</v>
      </c>
      <c r="L59" s="307">
        <f ca="1">TblImps[[#This Row],[Real time]]</f>
        <v>45283.291666666533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45283.291666666533</v>
      </c>
      <c r="BZ59" s="317">
        <f ca="1">OFFSET(TblImps[[#This Row],[Servertime]],-1,0)+1/24</f>
        <v>45283.291666666533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776</v>
      </c>
      <c r="I60" s="183">
        <f ca="1">TblPop[[#This Row],[Employment]]</f>
        <v>1</v>
      </c>
      <c r="J60" s="183">
        <f ca="1">TblPop[[#This Row],[Total]]/TblPop[[#This Row],[Net max]]</f>
        <v>1</v>
      </c>
      <c r="K60" s="306">
        <f>TblRezone[[#This Row],[Hour]]</f>
        <v>57</v>
      </c>
      <c r="L60" s="307">
        <f ca="1">TblImps[[#This Row],[Real time]]</f>
        <v>45283.333333333198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45283.333333333198</v>
      </c>
      <c r="BZ60" s="317">
        <f ca="1">OFFSET(TblImps[[#This Row],[Servertime]],-1,0)+1/24</f>
        <v>45283.333333333198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776</v>
      </c>
      <c r="I61" s="183">
        <f ca="1">TblPop[[#This Row],[Employment]]</f>
        <v>1</v>
      </c>
      <c r="J61" s="183">
        <f ca="1">TblPop[[#This Row],[Total]]/TblPop[[#This Row],[Net max]]</f>
        <v>1</v>
      </c>
      <c r="K61" s="306">
        <f>TblRezone[[#This Row],[Hour]]</f>
        <v>58</v>
      </c>
      <c r="L61" s="307">
        <f ca="1">TblImps[[#This Row],[Real time]]</f>
        <v>45283.374999999862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45283.374999999862</v>
      </c>
      <c r="BZ61" s="317">
        <f ca="1">OFFSET(TblImps[[#This Row],[Servertime]],-1,0)+1/24</f>
        <v>45283.374999999862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776</v>
      </c>
      <c r="I62" s="183">
        <f ca="1">TblPop[[#This Row],[Employment]]</f>
        <v>1</v>
      </c>
      <c r="J62" s="183">
        <f ca="1">TblPop[[#This Row],[Total]]/TblPop[[#This Row],[Net max]]</f>
        <v>1</v>
      </c>
      <c r="K62" s="306">
        <f>TblRezone[[#This Row],[Hour]]</f>
        <v>59</v>
      </c>
      <c r="L62" s="307">
        <f ca="1">TblImps[[#This Row],[Real time]]</f>
        <v>45283.416666666526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45283.416666666526</v>
      </c>
      <c r="BZ62" s="317">
        <f ca="1">OFFSET(TblImps[[#This Row],[Servertime]],-1,0)+1/24</f>
        <v>45283.416666666526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776</v>
      </c>
      <c r="I63" s="183">
        <f ca="1">TblPop[[#This Row],[Employment]]</f>
        <v>1</v>
      </c>
      <c r="J63" s="183">
        <f ca="1">TblPop[[#This Row],[Total]]/TblPop[[#This Row],[Net max]]</f>
        <v>1</v>
      </c>
      <c r="K63" s="306">
        <f>TblRezone[[#This Row],[Hour]]</f>
        <v>60</v>
      </c>
      <c r="L63" s="307">
        <f ca="1">TblImps[[#This Row],[Real time]]</f>
        <v>45283.45833333319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45283.45833333319</v>
      </c>
      <c r="BZ63" s="317">
        <f ca="1">OFFSET(TblImps[[#This Row],[Servertime]],-1,0)+1/24</f>
        <v>45283.45833333319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776</v>
      </c>
      <c r="I64" s="183">
        <f ca="1">TblPop[[#This Row],[Employment]]</f>
        <v>1</v>
      </c>
      <c r="J64" s="183">
        <f ca="1">TblPop[[#This Row],[Total]]/TblPop[[#This Row],[Net max]]</f>
        <v>1</v>
      </c>
      <c r="K64" s="306">
        <f>TblRezone[[#This Row],[Hour]]</f>
        <v>61</v>
      </c>
      <c r="L64" s="307">
        <f ca="1">TblImps[[#This Row],[Real time]]</f>
        <v>45283.499999999854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45283.499999999854</v>
      </c>
      <c r="BZ64" s="317">
        <f ca="1">OFFSET(TblImps[[#This Row],[Servertime]],-1,0)+1/24</f>
        <v>45283.499999999854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776</v>
      </c>
      <c r="I65" s="183">
        <f ca="1">TblPop[[#This Row],[Employment]]</f>
        <v>1</v>
      </c>
      <c r="J65" s="183">
        <f ca="1">TblPop[[#This Row],[Total]]/TblPop[[#This Row],[Net max]]</f>
        <v>1</v>
      </c>
      <c r="K65" s="306">
        <f>TblRezone[[#This Row],[Hour]]</f>
        <v>62</v>
      </c>
      <c r="L65" s="307">
        <f ca="1">TblImps[[#This Row],[Real time]]</f>
        <v>45283.541666666519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45283.541666666519</v>
      </c>
      <c r="BZ65" s="317">
        <f ca="1">OFFSET(TblImps[[#This Row],[Servertime]],-1,0)+1/24</f>
        <v>45283.541666666519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776</v>
      </c>
      <c r="I66" s="183">
        <f ca="1">TblPop[[#This Row],[Employment]]</f>
        <v>1</v>
      </c>
      <c r="J66" s="183">
        <f ca="1">TblPop[[#This Row],[Total]]/TblPop[[#This Row],[Net max]]</f>
        <v>1</v>
      </c>
      <c r="K66" s="306">
        <f>TblRezone[[#This Row],[Hour]]</f>
        <v>63</v>
      </c>
      <c r="L66" s="307">
        <f ca="1">TblImps[[#This Row],[Real time]]</f>
        <v>45283.583333333183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45283.583333333183</v>
      </c>
      <c r="BZ66" s="317">
        <f ca="1">OFFSET(TblImps[[#This Row],[Servertime]],-1,0)+1/24</f>
        <v>45283.583333333183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776</v>
      </c>
      <c r="I67" s="183">
        <f ca="1">TblPop[[#This Row],[Employment]]</f>
        <v>1</v>
      </c>
      <c r="J67" s="183">
        <f ca="1">TblPop[[#This Row],[Total]]/TblPop[[#This Row],[Net max]]</f>
        <v>1</v>
      </c>
      <c r="K67" s="306">
        <f>TblRezone[[#This Row],[Hour]]</f>
        <v>64</v>
      </c>
      <c r="L67" s="307">
        <f ca="1">TblImps[[#This Row],[Real time]]</f>
        <v>45283.624999999847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45283.624999999847</v>
      </c>
      <c r="BZ67" s="317">
        <f ca="1">OFFSET(TblImps[[#This Row],[Servertime]],-1,0)+1/24</f>
        <v>45283.624999999847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776</v>
      </c>
      <c r="I68" s="183">
        <f ca="1">TblPop[[#This Row],[Employment]]</f>
        <v>1</v>
      </c>
      <c r="J68" s="183">
        <f ca="1">TblPop[[#This Row],[Total]]/TblPop[[#This Row],[Net max]]</f>
        <v>1</v>
      </c>
      <c r="K68" s="306">
        <f>TblRezone[[#This Row],[Hour]]</f>
        <v>65</v>
      </c>
      <c r="L68" s="307">
        <f ca="1">TblImps[[#This Row],[Real time]]</f>
        <v>45283.666666666511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45283.666666666511</v>
      </c>
      <c r="BZ68" s="317">
        <f ca="1">OFFSET(TblImps[[#This Row],[Servertime]],-1,0)+1/24</f>
        <v>45283.666666666511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776</v>
      </c>
      <c r="I69" s="183">
        <f ca="1">TblPop[[#This Row],[Employment]]</f>
        <v>1</v>
      </c>
      <c r="J69" s="183">
        <f ca="1">TblPop[[#This Row],[Total]]/TblPop[[#This Row],[Net max]]</f>
        <v>1</v>
      </c>
      <c r="K69" s="306">
        <f>TblRezone[[#This Row],[Hour]]</f>
        <v>66</v>
      </c>
      <c r="L69" s="307">
        <f ca="1">TblImps[[#This Row],[Real time]]</f>
        <v>45283.708333333176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45283.708333333176</v>
      </c>
      <c r="BZ69" s="317">
        <f ca="1">OFFSET(TblImps[[#This Row],[Servertime]],-1,0)+1/24</f>
        <v>45283.708333333176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776</v>
      </c>
      <c r="I70" s="183">
        <f ca="1">TblPop[[#This Row],[Employment]]</f>
        <v>1</v>
      </c>
      <c r="J70" s="183">
        <f ca="1">TblPop[[#This Row],[Total]]/TblPop[[#This Row],[Net max]]</f>
        <v>1</v>
      </c>
      <c r="K70" s="306">
        <f>TblRezone[[#This Row],[Hour]]</f>
        <v>67</v>
      </c>
      <c r="L70" s="307">
        <f ca="1">TblImps[[#This Row],[Real time]]</f>
        <v>45283.74999999984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45283.74999999984</v>
      </c>
      <c r="BZ70" s="317">
        <f ca="1">OFFSET(TblImps[[#This Row],[Servertime]],-1,0)+1/24</f>
        <v>45283.74999999984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776</v>
      </c>
      <c r="I71" s="183">
        <f ca="1">TblPop[[#This Row],[Employment]]</f>
        <v>1</v>
      </c>
      <c r="J71" s="183">
        <f ca="1">TblPop[[#This Row],[Total]]/TblPop[[#This Row],[Net max]]</f>
        <v>1</v>
      </c>
      <c r="K71" s="306">
        <f>TblRezone[[#This Row],[Hour]]</f>
        <v>68</v>
      </c>
      <c r="L71" s="307">
        <f ca="1">TblImps[[#This Row],[Real time]]</f>
        <v>45283.791666666504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45283.791666666504</v>
      </c>
      <c r="BZ71" s="317">
        <f ca="1">OFFSET(TblImps[[#This Row],[Servertime]],-1,0)+1/24</f>
        <v>45283.791666666504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776</v>
      </c>
      <c r="I72" s="183">
        <f ca="1">TblPop[[#This Row],[Employment]]</f>
        <v>1</v>
      </c>
      <c r="J72" s="183">
        <f ca="1">TblPop[[#This Row],[Total]]/TblPop[[#This Row],[Net max]]</f>
        <v>1</v>
      </c>
      <c r="K72" s="306">
        <f>TblRezone[[#This Row],[Hour]]</f>
        <v>69</v>
      </c>
      <c r="L72" s="307">
        <f ca="1">TblImps[[#This Row],[Real time]]</f>
        <v>45283.833333333168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45283.833333333168</v>
      </c>
      <c r="BZ72" s="317">
        <f ca="1">OFFSET(TblImps[[#This Row],[Servertime]],-1,0)+1/24</f>
        <v>45283.833333333168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776</v>
      </c>
      <c r="I73" s="183">
        <f ca="1">TblPop[[#This Row],[Employment]]</f>
        <v>1</v>
      </c>
      <c r="J73" s="183">
        <f ca="1">TblPop[[#This Row],[Total]]/TblPop[[#This Row],[Net max]]</f>
        <v>1</v>
      </c>
      <c r="K73" s="306">
        <f>TblRezone[[#This Row],[Hour]]</f>
        <v>70</v>
      </c>
      <c r="L73" s="307">
        <f ca="1">TblImps[[#This Row],[Real time]]</f>
        <v>45283.874999999833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45283.874999999833</v>
      </c>
      <c r="BZ73" s="317">
        <f ca="1">OFFSET(TblImps[[#This Row],[Servertime]],-1,0)+1/24</f>
        <v>45283.874999999833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776</v>
      </c>
      <c r="I74" s="183">
        <f ca="1">TblPop[[#This Row],[Employment]]</f>
        <v>1</v>
      </c>
      <c r="J74" s="183">
        <f ca="1">TblPop[[#This Row],[Total]]/TblPop[[#This Row],[Net max]]</f>
        <v>1</v>
      </c>
      <c r="K74" s="306">
        <f>TblRezone[[#This Row],[Hour]]</f>
        <v>71</v>
      </c>
      <c r="L74" s="307">
        <f ca="1">TblImps[[#This Row],[Real time]]</f>
        <v>45283.916666666497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45283.916666666497</v>
      </c>
      <c r="BZ74" s="317">
        <f ca="1">OFFSET(TblImps[[#This Row],[Servertime]],-1,0)+1/24</f>
        <v>45283.916666666497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776</v>
      </c>
      <c r="I75" s="183">
        <f ca="1">TblPop[[#This Row],[Employment]]</f>
        <v>1</v>
      </c>
      <c r="J75" s="183">
        <f ca="1">TblPop[[#This Row],[Total]]/TblPop[[#This Row],[Net max]]</f>
        <v>1</v>
      </c>
      <c r="K75" s="306">
        <f>TblRezone[[#This Row],[Hour]]</f>
        <v>72</v>
      </c>
      <c r="L75" s="307">
        <f ca="1">TblImps[[#This Row],[Real time]]</f>
        <v>45283.958333333161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45283.958333333161</v>
      </c>
      <c r="BZ75" s="317">
        <f ca="1">OFFSET(TblImps[[#This Row],[Servertime]],-1,0)+1/24</f>
        <v>45283.958333333161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776</v>
      </c>
      <c r="I76" s="209">
        <f ca="1">TblPop[[#This Row],[Employment]]</f>
        <v>1</v>
      </c>
      <c r="J76" s="209">
        <f ca="1">TblPop[[#This Row],[Total]]/TblPop[[#This Row],[Net max]]</f>
        <v>1</v>
      </c>
      <c r="K76" s="321">
        <f>TblRezone[[#This Row],[Hour]]</f>
        <v>73</v>
      </c>
      <c r="L76" s="322">
        <f ca="1">TblImps[[#This Row],[Real time]]</f>
        <v>45283.999999999825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45283.999999999825</v>
      </c>
      <c r="BZ76" s="327">
        <f ca="1">OFFSET(TblImps[[#This Row],[Servertime]],-1,0)+1/24</f>
        <v>45283.999999999825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776</v>
      </c>
      <c r="I77" s="183">
        <f ca="1">TblPop[[#This Row],[Employment]]</f>
        <v>1</v>
      </c>
      <c r="J77" s="183">
        <f ca="1">TblPop[[#This Row],[Total]]/TblPop[[#This Row],[Net max]]</f>
        <v>1</v>
      </c>
      <c r="K77" s="306">
        <f>TblRezone[[#This Row],[Hour]]</f>
        <v>74</v>
      </c>
      <c r="L77" s="307">
        <f ca="1">TblImps[[#This Row],[Real time]]</f>
        <v>45284.04166666649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45284.04166666649</v>
      </c>
      <c r="BZ77" s="317">
        <f ca="1">OFFSET(TblImps[[#This Row],[Servertime]],-1,0)+1/24</f>
        <v>45284.04166666649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776</v>
      </c>
      <c r="I78" s="183">
        <f ca="1">TblPop[[#This Row],[Employment]]</f>
        <v>1</v>
      </c>
      <c r="J78" s="183">
        <f ca="1">TblPop[[#This Row],[Total]]/TblPop[[#This Row],[Net max]]</f>
        <v>1</v>
      </c>
      <c r="K78" s="306">
        <f>TblRezone[[#This Row],[Hour]]</f>
        <v>75</v>
      </c>
      <c r="L78" s="307">
        <f ca="1">TblImps[[#This Row],[Real time]]</f>
        <v>45284.083333333154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45284.083333333154</v>
      </c>
      <c r="BZ78" s="317">
        <f ca="1">OFFSET(TblImps[[#This Row],[Servertime]],-1,0)+1/24</f>
        <v>45284.083333333154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776</v>
      </c>
      <c r="I79" s="183">
        <f ca="1">TblPop[[#This Row],[Employment]]</f>
        <v>1</v>
      </c>
      <c r="J79" s="183">
        <f ca="1">TblPop[[#This Row],[Total]]/TblPop[[#This Row],[Net max]]</f>
        <v>1</v>
      </c>
      <c r="K79" s="306">
        <f>TblRezone[[#This Row],[Hour]]</f>
        <v>76</v>
      </c>
      <c r="L79" s="307">
        <f ca="1">TblImps[[#This Row],[Real time]]</f>
        <v>45284.124999999818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45284.124999999818</v>
      </c>
      <c r="BZ79" s="317">
        <f ca="1">OFFSET(TblImps[[#This Row],[Servertime]],-1,0)+1/24</f>
        <v>45284.124999999818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776</v>
      </c>
      <c r="I80" s="183">
        <f ca="1">TblPop[[#This Row],[Employment]]</f>
        <v>1</v>
      </c>
      <c r="J80" s="183">
        <f ca="1">TblPop[[#This Row],[Total]]/TblPop[[#This Row],[Net max]]</f>
        <v>1</v>
      </c>
      <c r="K80" s="306">
        <f>TblRezone[[#This Row],[Hour]]</f>
        <v>77</v>
      </c>
      <c r="L80" s="307">
        <f ca="1">TblImps[[#This Row],[Real time]]</f>
        <v>45284.166666666482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45284.166666666482</v>
      </c>
      <c r="BZ80" s="317">
        <f ca="1">OFFSET(TblImps[[#This Row],[Servertime]],-1,0)+1/24</f>
        <v>45284.166666666482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776</v>
      </c>
      <c r="I81" s="183">
        <f ca="1">TblPop[[#This Row],[Employment]]</f>
        <v>1</v>
      </c>
      <c r="J81" s="183">
        <f ca="1">TblPop[[#This Row],[Total]]/TblPop[[#This Row],[Net max]]</f>
        <v>1</v>
      </c>
      <c r="K81" s="306">
        <f>TblRezone[[#This Row],[Hour]]</f>
        <v>78</v>
      </c>
      <c r="L81" s="307">
        <f ca="1">TblImps[[#This Row],[Real time]]</f>
        <v>45284.208333333147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45284.208333333147</v>
      </c>
      <c r="BZ81" s="317">
        <f ca="1">OFFSET(TblImps[[#This Row],[Servertime]],-1,0)+1/24</f>
        <v>45284.208333333147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776</v>
      </c>
      <c r="I82" s="183">
        <f ca="1">TblPop[[#This Row],[Employment]]</f>
        <v>1</v>
      </c>
      <c r="J82" s="183">
        <f ca="1">TblPop[[#This Row],[Total]]/TblPop[[#This Row],[Net max]]</f>
        <v>1</v>
      </c>
      <c r="K82" s="306">
        <f>TblRezone[[#This Row],[Hour]]</f>
        <v>79</v>
      </c>
      <c r="L82" s="307">
        <f ca="1">TblImps[[#This Row],[Real time]]</f>
        <v>45284.249999999811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45284.249999999811</v>
      </c>
      <c r="BZ82" s="317">
        <f ca="1">OFFSET(TblImps[[#This Row],[Servertime]],-1,0)+1/24</f>
        <v>45284.249999999811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776</v>
      </c>
      <c r="I83" s="183">
        <f ca="1">TblPop[[#This Row],[Employment]]</f>
        <v>1</v>
      </c>
      <c r="J83" s="183">
        <f ca="1">TblPop[[#This Row],[Total]]/TblPop[[#This Row],[Net max]]</f>
        <v>1</v>
      </c>
      <c r="K83" s="306">
        <f>TblRezone[[#This Row],[Hour]]</f>
        <v>80</v>
      </c>
      <c r="L83" s="307">
        <f ca="1">TblImps[[#This Row],[Real time]]</f>
        <v>45284.291666666475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45284.291666666475</v>
      </c>
      <c r="BZ83" s="317">
        <f ca="1">OFFSET(TblImps[[#This Row],[Servertime]],-1,0)+1/24</f>
        <v>45284.291666666475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776</v>
      </c>
      <c r="I84" s="183">
        <f ca="1">TblPop[[#This Row],[Employment]]</f>
        <v>1</v>
      </c>
      <c r="J84" s="183">
        <f ca="1">TblPop[[#This Row],[Total]]/TblPop[[#This Row],[Net max]]</f>
        <v>1</v>
      </c>
      <c r="K84" s="306">
        <f>TblRezone[[#This Row],[Hour]]</f>
        <v>81</v>
      </c>
      <c r="L84" s="307">
        <f ca="1">TblImps[[#This Row],[Real time]]</f>
        <v>45284.333333333139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45284.333333333139</v>
      </c>
      <c r="BZ84" s="317">
        <f ca="1">OFFSET(TblImps[[#This Row],[Servertime]],-1,0)+1/24</f>
        <v>45284.333333333139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776</v>
      </c>
      <c r="I85" s="183">
        <f ca="1">TblPop[[#This Row],[Employment]]</f>
        <v>1</v>
      </c>
      <c r="J85" s="183">
        <f ca="1">TblPop[[#This Row],[Total]]/TblPop[[#This Row],[Net max]]</f>
        <v>1</v>
      </c>
      <c r="K85" s="306">
        <f>TblRezone[[#This Row],[Hour]]</f>
        <v>82</v>
      </c>
      <c r="L85" s="307">
        <f ca="1">TblImps[[#This Row],[Real time]]</f>
        <v>45284.374999999804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45284.374999999804</v>
      </c>
      <c r="BZ85" s="317">
        <f ca="1">OFFSET(TblImps[[#This Row],[Servertime]],-1,0)+1/24</f>
        <v>45284.374999999804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776</v>
      </c>
      <c r="I86" s="183">
        <f ca="1">TblPop[[#This Row],[Employment]]</f>
        <v>1</v>
      </c>
      <c r="J86" s="183">
        <f ca="1">TblPop[[#This Row],[Total]]/TblPop[[#This Row],[Net max]]</f>
        <v>1</v>
      </c>
      <c r="K86" s="306">
        <f>TblRezone[[#This Row],[Hour]]</f>
        <v>83</v>
      </c>
      <c r="L86" s="307">
        <f ca="1">TblImps[[#This Row],[Real time]]</f>
        <v>45284.416666666468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45284.416666666468</v>
      </c>
      <c r="BZ86" s="317">
        <f ca="1">OFFSET(TblImps[[#This Row],[Servertime]],-1,0)+1/24</f>
        <v>45284.416666666468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776</v>
      </c>
      <c r="I87" s="183">
        <f ca="1">TblPop[[#This Row],[Employment]]</f>
        <v>1</v>
      </c>
      <c r="J87" s="183">
        <f ca="1">TblPop[[#This Row],[Total]]/TblPop[[#This Row],[Net max]]</f>
        <v>1</v>
      </c>
      <c r="K87" s="306">
        <f>TblRezone[[#This Row],[Hour]]</f>
        <v>84</v>
      </c>
      <c r="L87" s="307">
        <f ca="1">TblImps[[#This Row],[Real time]]</f>
        <v>45284.458333333132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45284.458333333132</v>
      </c>
      <c r="BZ87" s="317">
        <f ca="1">OFFSET(TblImps[[#This Row],[Servertime]],-1,0)+1/24</f>
        <v>45284.458333333132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776</v>
      </c>
      <c r="I88" s="183">
        <f ca="1">TblPop[[#This Row],[Employment]]</f>
        <v>1</v>
      </c>
      <c r="J88" s="183">
        <f ca="1">TblPop[[#This Row],[Total]]/TblPop[[#This Row],[Net max]]</f>
        <v>1</v>
      </c>
      <c r="K88" s="306">
        <f>TblRezone[[#This Row],[Hour]]</f>
        <v>85</v>
      </c>
      <c r="L88" s="307">
        <f ca="1">TblImps[[#This Row],[Real time]]</f>
        <v>45284.499999999796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45284.499999999796</v>
      </c>
      <c r="BZ88" s="317">
        <f ca="1">OFFSET(TblImps[[#This Row],[Servertime]],-1,0)+1/24</f>
        <v>45284.499999999796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776</v>
      </c>
      <c r="I89" s="183">
        <f ca="1">TblPop[[#This Row],[Employment]]</f>
        <v>1</v>
      </c>
      <c r="J89" s="183">
        <f ca="1">TblPop[[#This Row],[Total]]/TblPop[[#This Row],[Net max]]</f>
        <v>1</v>
      </c>
      <c r="K89" s="306">
        <f>TblRezone[[#This Row],[Hour]]</f>
        <v>86</v>
      </c>
      <c r="L89" s="307">
        <f ca="1">TblImps[[#This Row],[Real time]]</f>
        <v>45284.541666666461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45284.541666666461</v>
      </c>
      <c r="BZ89" s="317">
        <f ca="1">OFFSET(TblImps[[#This Row],[Servertime]],-1,0)+1/24</f>
        <v>45284.541666666461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776</v>
      </c>
      <c r="I90" s="183">
        <f ca="1">TblPop[[#This Row],[Employment]]</f>
        <v>1</v>
      </c>
      <c r="J90" s="183">
        <f ca="1">TblPop[[#This Row],[Total]]/TblPop[[#This Row],[Net max]]</f>
        <v>1</v>
      </c>
      <c r="K90" s="306">
        <f>TblRezone[[#This Row],[Hour]]</f>
        <v>87</v>
      </c>
      <c r="L90" s="307">
        <f ca="1">TblImps[[#This Row],[Real time]]</f>
        <v>45284.583333333125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45284.583333333125</v>
      </c>
      <c r="BZ90" s="317">
        <f ca="1">OFFSET(TblImps[[#This Row],[Servertime]],-1,0)+1/24</f>
        <v>45284.583333333125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776</v>
      </c>
      <c r="I91" s="183">
        <f ca="1">TblPop[[#This Row],[Employment]]</f>
        <v>1</v>
      </c>
      <c r="J91" s="183">
        <f ca="1">TblPop[[#This Row],[Total]]/TblPop[[#This Row],[Net max]]</f>
        <v>1</v>
      </c>
      <c r="K91" s="306">
        <f>TblRezone[[#This Row],[Hour]]</f>
        <v>88</v>
      </c>
      <c r="L91" s="307">
        <f ca="1">TblImps[[#This Row],[Real time]]</f>
        <v>45284.624999999789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45284.624999999789</v>
      </c>
      <c r="BZ91" s="317">
        <f ca="1">OFFSET(TblImps[[#This Row],[Servertime]],-1,0)+1/24</f>
        <v>45284.624999999789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776</v>
      </c>
      <c r="I92" s="183">
        <f ca="1">TblPop[[#This Row],[Employment]]</f>
        <v>1</v>
      </c>
      <c r="J92" s="183">
        <f ca="1">TblPop[[#This Row],[Total]]/TblPop[[#This Row],[Net max]]</f>
        <v>1</v>
      </c>
      <c r="K92" s="306">
        <f>TblRezone[[#This Row],[Hour]]</f>
        <v>89</v>
      </c>
      <c r="L92" s="307">
        <f ca="1">TblImps[[#This Row],[Real time]]</f>
        <v>45284.666666666453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45284.666666666453</v>
      </c>
      <c r="BZ92" s="317">
        <f ca="1">OFFSET(TblImps[[#This Row],[Servertime]],-1,0)+1/24</f>
        <v>45284.666666666453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776</v>
      </c>
      <c r="I93" s="183">
        <f ca="1">TblPop[[#This Row],[Employment]]</f>
        <v>1</v>
      </c>
      <c r="J93" s="183">
        <f ca="1">TblPop[[#This Row],[Total]]/TblPop[[#This Row],[Net max]]</f>
        <v>1</v>
      </c>
      <c r="K93" s="306">
        <f>TblRezone[[#This Row],[Hour]]</f>
        <v>90</v>
      </c>
      <c r="L93" s="307">
        <f ca="1">TblImps[[#This Row],[Real time]]</f>
        <v>45284.708333333117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45284.708333333117</v>
      </c>
      <c r="BZ93" s="317">
        <f ca="1">OFFSET(TblImps[[#This Row],[Servertime]],-1,0)+1/24</f>
        <v>45284.708333333117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776</v>
      </c>
      <c r="I94" s="183">
        <f ca="1">TblPop[[#This Row],[Employment]]</f>
        <v>1</v>
      </c>
      <c r="J94" s="183">
        <f ca="1">TblPop[[#This Row],[Total]]/TblPop[[#This Row],[Net max]]</f>
        <v>1</v>
      </c>
      <c r="K94" s="306">
        <f>TblRezone[[#This Row],[Hour]]</f>
        <v>91</v>
      </c>
      <c r="L94" s="307">
        <f ca="1">TblImps[[#This Row],[Real time]]</f>
        <v>45284.749999999782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45284.749999999782</v>
      </c>
      <c r="BZ94" s="317">
        <f ca="1">OFFSET(TblImps[[#This Row],[Servertime]],-1,0)+1/24</f>
        <v>45284.749999999782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776</v>
      </c>
      <c r="I95" s="183">
        <f ca="1">TblPop[[#This Row],[Employment]]</f>
        <v>1</v>
      </c>
      <c r="J95" s="183">
        <f ca="1">TblPop[[#This Row],[Total]]/TblPop[[#This Row],[Net max]]</f>
        <v>1</v>
      </c>
      <c r="K95" s="306">
        <f>TblRezone[[#This Row],[Hour]]</f>
        <v>92</v>
      </c>
      <c r="L95" s="307">
        <f ca="1">TblImps[[#This Row],[Real time]]</f>
        <v>45284.791666666446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45284.791666666446</v>
      </c>
      <c r="BZ95" s="317">
        <f ca="1">OFFSET(TblImps[[#This Row],[Servertime]],-1,0)+1/24</f>
        <v>45284.791666666446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776</v>
      </c>
      <c r="I96" s="183">
        <f ca="1">TblPop[[#This Row],[Employment]]</f>
        <v>1</v>
      </c>
      <c r="J96" s="183">
        <f ca="1">TblPop[[#This Row],[Total]]/TblPop[[#This Row],[Net max]]</f>
        <v>1</v>
      </c>
      <c r="K96" s="306">
        <f>TblRezone[[#This Row],[Hour]]</f>
        <v>93</v>
      </c>
      <c r="L96" s="307">
        <f ca="1">TblImps[[#This Row],[Real time]]</f>
        <v>45284.83333333311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45284.83333333311</v>
      </c>
      <c r="BZ96" s="317">
        <f ca="1">OFFSET(TblImps[[#This Row],[Servertime]],-1,0)+1/24</f>
        <v>45284.83333333311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776</v>
      </c>
      <c r="I97" s="183">
        <f ca="1">TblPop[[#This Row],[Employment]]</f>
        <v>1</v>
      </c>
      <c r="J97" s="183">
        <f ca="1">TblPop[[#This Row],[Total]]/TblPop[[#This Row],[Net max]]</f>
        <v>1</v>
      </c>
      <c r="K97" s="306">
        <f>TblRezone[[#This Row],[Hour]]</f>
        <v>94</v>
      </c>
      <c r="L97" s="307">
        <f ca="1">TblImps[[#This Row],[Real time]]</f>
        <v>45284.874999999774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45284.874999999774</v>
      </c>
      <c r="BZ97" s="317">
        <f ca="1">OFFSET(TblImps[[#This Row],[Servertime]],-1,0)+1/24</f>
        <v>45284.874999999774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776</v>
      </c>
      <c r="I98" s="183">
        <f ca="1">TblPop[[#This Row],[Employment]]</f>
        <v>1</v>
      </c>
      <c r="J98" s="183">
        <f ca="1">TblPop[[#This Row],[Total]]/TblPop[[#This Row],[Net max]]</f>
        <v>1</v>
      </c>
      <c r="K98" s="306">
        <f>TblRezone[[#This Row],[Hour]]</f>
        <v>95</v>
      </c>
      <c r="L98" s="307">
        <f ca="1">TblImps[[#This Row],[Real time]]</f>
        <v>45284.916666666439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45284.916666666439</v>
      </c>
      <c r="BZ98" s="317">
        <f ca="1">OFFSET(TblImps[[#This Row],[Servertime]],-1,0)+1/24</f>
        <v>45284.916666666439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776</v>
      </c>
      <c r="I99" s="183">
        <f ca="1">TblPop[[#This Row],[Employment]]</f>
        <v>1</v>
      </c>
      <c r="J99" s="183">
        <f ca="1">TblPop[[#This Row],[Total]]/TblPop[[#This Row],[Net max]]</f>
        <v>1</v>
      </c>
      <c r="K99" s="306">
        <f>TblRezone[[#This Row],[Hour]]</f>
        <v>96</v>
      </c>
      <c r="L99" s="307">
        <f ca="1">TblImps[[#This Row],[Real time]]</f>
        <v>45284.958333333103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45284.958333333103</v>
      </c>
      <c r="BZ99" s="317">
        <f ca="1">OFFSET(TblImps[[#This Row],[Servertime]],-1,0)+1/24</f>
        <v>45284.958333333103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776</v>
      </c>
      <c r="I100" s="183">
        <f ca="1">TblPop[[#This Row],[Employment]]</f>
        <v>1</v>
      </c>
      <c r="J100" s="183">
        <f ca="1">TblPop[[#This Row],[Total]]/TblPop[[#This Row],[Net max]]</f>
        <v>1</v>
      </c>
      <c r="K100" s="306">
        <f>TblRezone[[#This Row],[Hour]]</f>
        <v>97</v>
      </c>
      <c r="L100" s="307">
        <f ca="1">TblImps[[#This Row],[Real time]]</f>
        <v>45284.999999999767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45284.999999999767</v>
      </c>
      <c r="BZ100" s="317">
        <f ca="1">OFFSET(TblImps[[#This Row],[Servertime]],-1,0)+1/24</f>
        <v>45284.999999999767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776</v>
      </c>
      <c r="I101" s="183">
        <f ca="1">TblPop[[#This Row],[Employment]]</f>
        <v>1</v>
      </c>
      <c r="J101" s="183">
        <f ca="1">TblPop[[#This Row],[Total]]/TblPop[[#This Row],[Net max]]</f>
        <v>1</v>
      </c>
      <c r="K101" s="306">
        <f>TblRezone[[#This Row],[Hour]]</f>
        <v>98</v>
      </c>
      <c r="L101" s="307">
        <f ca="1">TblImps[[#This Row],[Real time]]</f>
        <v>45285.041666666431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45285.041666666431</v>
      </c>
      <c r="BZ101" s="317">
        <f ca="1">OFFSET(TblImps[[#This Row],[Servertime]],-1,0)+1/24</f>
        <v>45285.041666666431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776</v>
      </c>
      <c r="I102" s="183">
        <f ca="1">TblPop[[#This Row],[Employment]]</f>
        <v>1</v>
      </c>
      <c r="J102" s="183">
        <f ca="1">TblPop[[#This Row],[Total]]/TblPop[[#This Row],[Net max]]</f>
        <v>1</v>
      </c>
      <c r="K102" s="306">
        <f>TblRezone[[#This Row],[Hour]]</f>
        <v>99</v>
      </c>
      <c r="L102" s="307">
        <f ca="1">TblImps[[#This Row],[Real time]]</f>
        <v>45285.083333333096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45285.083333333096</v>
      </c>
      <c r="BZ102" s="317">
        <f ca="1">OFFSET(TblImps[[#This Row],[Servertime]],-1,0)+1/24</f>
        <v>45285.083333333096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776</v>
      </c>
      <c r="I103" s="183">
        <f ca="1">TblPop[[#This Row],[Employment]]</f>
        <v>1</v>
      </c>
      <c r="J103" s="183">
        <f ca="1">TblPop[[#This Row],[Total]]/TblPop[[#This Row],[Net max]]</f>
        <v>1</v>
      </c>
      <c r="K103" s="306">
        <f>TblRezone[[#This Row],[Hour]]</f>
        <v>100</v>
      </c>
      <c r="L103" s="307">
        <f ca="1">TblImps[[#This Row],[Real time]]</f>
        <v>45285.12499999976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45285.12499999976</v>
      </c>
      <c r="BZ103" s="317">
        <f ca="1">OFFSET(TblImps[[#This Row],[Servertime]],-1,0)+1/24</f>
        <v>45285.12499999976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776</v>
      </c>
      <c r="I104" s="183">
        <f ca="1">TblPop[[#This Row],[Employment]]</f>
        <v>1</v>
      </c>
      <c r="J104" s="183">
        <f ca="1">TblPop[[#This Row],[Total]]/TblPop[[#This Row],[Net max]]</f>
        <v>1</v>
      </c>
      <c r="K104" s="306">
        <f>TblRezone[[#This Row],[Hour]]</f>
        <v>101</v>
      </c>
      <c r="L104" s="307">
        <f ca="1">TblImps[[#This Row],[Real time]]</f>
        <v>45285.166666666424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45285.166666666424</v>
      </c>
      <c r="BZ104" s="317">
        <f ca="1">OFFSET(TblImps[[#This Row],[Servertime]],-1,0)+1/24</f>
        <v>45285.166666666424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776</v>
      </c>
      <c r="I105" s="183">
        <f ca="1">TblPop[[#This Row],[Employment]]</f>
        <v>1</v>
      </c>
      <c r="J105" s="183">
        <f ca="1">TblPop[[#This Row],[Total]]/TblPop[[#This Row],[Net max]]</f>
        <v>1</v>
      </c>
      <c r="K105" s="306">
        <f>TblRezone[[#This Row],[Hour]]</f>
        <v>102</v>
      </c>
      <c r="L105" s="307">
        <f ca="1">TblImps[[#This Row],[Real time]]</f>
        <v>45285.208333333088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45285.208333333088</v>
      </c>
      <c r="BZ105" s="317">
        <f ca="1">OFFSET(TblImps[[#This Row],[Servertime]],-1,0)+1/24</f>
        <v>45285.208333333088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776</v>
      </c>
      <c r="I106" s="183">
        <f ca="1">TblPop[[#This Row],[Employment]]</f>
        <v>1</v>
      </c>
      <c r="J106" s="183">
        <f ca="1">TblPop[[#This Row],[Total]]/TblPop[[#This Row],[Net max]]</f>
        <v>1</v>
      </c>
      <c r="K106" s="306">
        <f>TblRezone[[#This Row],[Hour]]</f>
        <v>103</v>
      </c>
      <c r="L106" s="307">
        <f ca="1">TblImps[[#This Row],[Real time]]</f>
        <v>45285.249999999753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45285.249999999753</v>
      </c>
      <c r="BZ106" s="317">
        <f ca="1">OFFSET(TblImps[[#This Row],[Servertime]],-1,0)+1/24</f>
        <v>45285.249999999753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776</v>
      </c>
      <c r="I107" s="183">
        <f ca="1">TblPop[[#This Row],[Employment]]</f>
        <v>1</v>
      </c>
      <c r="J107" s="183">
        <f ca="1">TblPop[[#This Row],[Total]]/TblPop[[#This Row],[Net max]]</f>
        <v>1</v>
      </c>
      <c r="K107" s="306">
        <f>TblRezone[[#This Row],[Hour]]</f>
        <v>104</v>
      </c>
      <c r="L107" s="307">
        <f ca="1">TblImps[[#This Row],[Real time]]</f>
        <v>45285.291666666417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45285.291666666417</v>
      </c>
      <c r="BZ107" s="317">
        <f ca="1">OFFSET(TblImps[[#This Row],[Servertime]],-1,0)+1/24</f>
        <v>45285.291666666417</v>
      </c>
      <c r="CA107" s="57"/>
      <c r="CB107" s="315"/>
      <c r="CC107" s="315"/>
      <c r="CD107" s="45" t="s">
        <v>210</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776</v>
      </c>
      <c r="I108" s="183">
        <f ca="1">TblPop[[#This Row],[Employment]]</f>
        <v>1</v>
      </c>
      <c r="J108" s="183">
        <f ca="1">TblPop[[#This Row],[Total]]/TblPop[[#This Row],[Net max]]</f>
        <v>1</v>
      </c>
      <c r="K108" s="306">
        <f>TblRezone[[#This Row],[Hour]]</f>
        <v>105</v>
      </c>
      <c r="L108" s="307">
        <f ca="1">TblImps[[#This Row],[Real time]]</f>
        <v>45285.333333333081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45285.333333333081</v>
      </c>
      <c r="BZ108" s="317">
        <f ca="1">OFFSET(TblImps[[#This Row],[Servertime]],-1,0)+1/24</f>
        <v>45285.333333333081</v>
      </c>
      <c r="CA108" s="57"/>
      <c r="CB108" s="315"/>
      <c r="CC108" s="315"/>
      <c r="CD108" s="45" t="s">
        <v>212</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776</v>
      </c>
      <c r="I109" s="183">
        <f ca="1">TblPop[[#This Row],[Employment]]</f>
        <v>1</v>
      </c>
      <c r="J109" s="183">
        <f ca="1">TblPop[[#This Row],[Total]]/TblPop[[#This Row],[Net max]]</f>
        <v>1</v>
      </c>
      <c r="K109" s="306">
        <f>TblRezone[[#This Row],[Hour]]</f>
        <v>106</v>
      </c>
      <c r="L109" s="307">
        <f ca="1">TblImps[[#This Row],[Real time]]</f>
        <v>45285.374999999745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45285.374999999745</v>
      </c>
      <c r="BZ109" s="317">
        <f ca="1">OFFSET(TblImps[[#This Row],[Servertime]],-1,0)+1/24</f>
        <v>45285.374999999745</v>
      </c>
      <c r="CA109" s="57"/>
      <c r="CB109" s="315"/>
      <c r="CC109" s="315"/>
      <c r="CD109" s="45" t="s">
        <v>213</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776</v>
      </c>
      <c r="I110" s="183">
        <f ca="1">TblPop[[#This Row],[Employment]]</f>
        <v>1</v>
      </c>
      <c r="J110" s="183">
        <f ca="1">TblPop[[#This Row],[Total]]/TblPop[[#This Row],[Net max]]</f>
        <v>1</v>
      </c>
      <c r="K110" s="306">
        <f>TblRezone[[#This Row],[Hour]]</f>
        <v>107</v>
      </c>
      <c r="L110" s="307">
        <f ca="1">TblImps[[#This Row],[Real time]]</f>
        <v>45285.41666666641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45285.41666666641</v>
      </c>
      <c r="BZ110" s="317">
        <f ca="1">OFFSET(TblImps[[#This Row],[Servertime]],-1,0)+1/24</f>
        <v>45285.41666666641</v>
      </c>
      <c r="CA110" s="57"/>
      <c r="CB110" s="315"/>
      <c r="CC110" s="315"/>
      <c r="CD110" s="45" t="s">
        <v>214</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776</v>
      </c>
      <c r="I111" s="183">
        <f ca="1">TblPop[[#This Row],[Employment]]</f>
        <v>1</v>
      </c>
      <c r="J111" s="183">
        <f ca="1">TblPop[[#This Row],[Total]]/TblPop[[#This Row],[Net max]]</f>
        <v>1</v>
      </c>
      <c r="K111" s="306">
        <f>TblRezone[[#This Row],[Hour]]</f>
        <v>108</v>
      </c>
      <c r="L111" s="307">
        <f ca="1">TblImps[[#This Row],[Real time]]</f>
        <v>45285.458333333074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45285.458333333074</v>
      </c>
      <c r="BZ111" s="317">
        <f ca="1">OFFSET(TblImps[[#This Row],[Servertime]],-1,0)+1/24</f>
        <v>45285.458333333074</v>
      </c>
      <c r="CA111" s="57"/>
      <c r="CB111" s="315"/>
      <c r="CC111" s="315"/>
      <c r="CD111" s="45" t="s">
        <v>215</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776</v>
      </c>
      <c r="I112" s="183">
        <f ca="1">TblPop[[#This Row],[Employment]]</f>
        <v>1</v>
      </c>
      <c r="J112" s="183">
        <f ca="1">TblPop[[#This Row],[Total]]/TblPop[[#This Row],[Net max]]</f>
        <v>1</v>
      </c>
      <c r="K112" s="306">
        <f>TblRezone[[#This Row],[Hour]]</f>
        <v>109</v>
      </c>
      <c r="L112" s="307">
        <f ca="1">TblImps[[#This Row],[Real time]]</f>
        <v>45285.499999999738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45285.499999999738</v>
      </c>
      <c r="BZ112" s="317">
        <f ca="1">OFFSET(TblImps[[#This Row],[Servertime]],-1,0)+1/24</f>
        <v>45285.499999999738</v>
      </c>
      <c r="CA112" s="57"/>
      <c r="CB112" s="315"/>
      <c r="CC112" s="315"/>
      <c r="CD112" s="45" t="s">
        <v>216</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776</v>
      </c>
      <c r="I113" s="183">
        <f ca="1">TblPop[[#This Row],[Employment]]</f>
        <v>1</v>
      </c>
      <c r="J113" s="183">
        <f ca="1">TblPop[[#This Row],[Total]]/TblPop[[#This Row],[Net max]]</f>
        <v>1</v>
      </c>
      <c r="K113" s="306">
        <f>TblRezone[[#This Row],[Hour]]</f>
        <v>110</v>
      </c>
      <c r="L113" s="307">
        <f ca="1">TblImps[[#This Row],[Real time]]</f>
        <v>45285.541666666402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45285.541666666402</v>
      </c>
      <c r="BZ113" s="317">
        <f ca="1">OFFSET(TblImps[[#This Row],[Servertime]],-1,0)+1/24</f>
        <v>45285.541666666402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776</v>
      </c>
      <c r="I114" s="183">
        <f ca="1">TblPop[[#This Row],[Employment]]</f>
        <v>1</v>
      </c>
      <c r="J114" s="183">
        <f ca="1">TblPop[[#This Row],[Total]]/TblPop[[#This Row],[Net max]]</f>
        <v>1</v>
      </c>
      <c r="K114" s="306">
        <f>TblRezone[[#This Row],[Hour]]</f>
        <v>111</v>
      </c>
      <c r="L114" s="307">
        <f ca="1">TblImps[[#This Row],[Real time]]</f>
        <v>45285.583333333067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45285.583333333067</v>
      </c>
      <c r="BZ114" s="317">
        <f ca="1">OFFSET(TblImps[[#This Row],[Servertime]],-1,0)+1/24</f>
        <v>45285.583333333067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776</v>
      </c>
      <c r="I115" s="183">
        <f ca="1">TblPop[[#This Row],[Employment]]</f>
        <v>1</v>
      </c>
      <c r="J115" s="183">
        <f ca="1">TblPop[[#This Row],[Total]]/TblPop[[#This Row],[Net max]]</f>
        <v>1</v>
      </c>
      <c r="K115" s="306">
        <f>TblRezone[[#This Row],[Hour]]</f>
        <v>112</v>
      </c>
      <c r="L115" s="307">
        <f ca="1">TblImps[[#This Row],[Real time]]</f>
        <v>45285.624999999731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45285.624999999731</v>
      </c>
      <c r="BZ115" s="317">
        <f ca="1">OFFSET(TblImps[[#This Row],[Servertime]],-1,0)+1/24</f>
        <v>45285.624999999731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776</v>
      </c>
      <c r="I116" s="183">
        <f ca="1">TblPop[[#This Row],[Employment]]</f>
        <v>1</v>
      </c>
      <c r="J116" s="183">
        <f ca="1">TblPop[[#This Row],[Total]]/TblPop[[#This Row],[Net max]]</f>
        <v>1</v>
      </c>
      <c r="K116" s="306">
        <f>TblRezone[[#This Row],[Hour]]</f>
        <v>113</v>
      </c>
      <c r="L116" s="307">
        <f ca="1">TblImps[[#This Row],[Real time]]</f>
        <v>45285.666666666395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45285.666666666395</v>
      </c>
      <c r="BZ116" s="317">
        <f ca="1">OFFSET(TblImps[[#This Row],[Servertime]],-1,0)+1/24</f>
        <v>45285.666666666395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776</v>
      </c>
      <c r="I117" s="183">
        <f ca="1">TblPop[[#This Row],[Employment]]</f>
        <v>1</v>
      </c>
      <c r="J117" s="183">
        <f ca="1">TblPop[[#This Row],[Total]]/TblPop[[#This Row],[Net max]]</f>
        <v>1</v>
      </c>
      <c r="K117" s="306">
        <f>TblRezone[[#This Row],[Hour]]</f>
        <v>114</v>
      </c>
      <c r="L117" s="307">
        <f ca="1">TblImps[[#This Row],[Real time]]</f>
        <v>45285.708333333059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45285.708333333059</v>
      </c>
      <c r="BZ117" s="317">
        <f ca="1">OFFSET(TblImps[[#This Row],[Servertime]],-1,0)+1/24</f>
        <v>45285.708333333059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776</v>
      </c>
      <c r="I118" s="183">
        <f ca="1">TblPop[[#This Row],[Employment]]</f>
        <v>1</v>
      </c>
      <c r="J118" s="183">
        <f ca="1">TblPop[[#This Row],[Total]]/TblPop[[#This Row],[Net max]]</f>
        <v>1</v>
      </c>
      <c r="K118" s="306">
        <f>TblRezone[[#This Row],[Hour]]</f>
        <v>115</v>
      </c>
      <c r="L118" s="307">
        <f ca="1">TblImps[[#This Row],[Real time]]</f>
        <v>45285.749999999724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45285.749999999724</v>
      </c>
      <c r="BZ118" s="317">
        <f ca="1">OFFSET(TblImps[[#This Row],[Servertime]],-1,0)+1/24</f>
        <v>45285.749999999724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776</v>
      </c>
      <c r="I119" s="183">
        <f ca="1">TblPop[[#This Row],[Employment]]</f>
        <v>1</v>
      </c>
      <c r="J119" s="183">
        <f ca="1">TblPop[[#This Row],[Total]]/TblPop[[#This Row],[Net max]]</f>
        <v>1</v>
      </c>
      <c r="K119" s="306">
        <f>TblRezone[[#This Row],[Hour]]</f>
        <v>116</v>
      </c>
      <c r="L119" s="307">
        <f ca="1">TblImps[[#This Row],[Real time]]</f>
        <v>45285.791666666388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45285.791666666388</v>
      </c>
      <c r="BZ119" s="317">
        <f ca="1">OFFSET(TblImps[[#This Row],[Servertime]],-1,0)+1/24</f>
        <v>45285.791666666388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776</v>
      </c>
      <c r="I120" s="183">
        <f ca="1">TblPop[[#This Row],[Employment]]</f>
        <v>1</v>
      </c>
      <c r="J120" s="183">
        <f ca="1">TblPop[[#This Row],[Total]]/TblPop[[#This Row],[Net max]]</f>
        <v>1</v>
      </c>
      <c r="K120" s="306">
        <f>TblRezone[[#This Row],[Hour]]</f>
        <v>117</v>
      </c>
      <c r="L120" s="307">
        <f ca="1">TblImps[[#This Row],[Real time]]</f>
        <v>45285.833333333052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45285.833333333052</v>
      </c>
      <c r="BZ120" s="317">
        <f ca="1">OFFSET(TblImps[[#This Row],[Servertime]],-1,0)+1/24</f>
        <v>45285.833333333052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776</v>
      </c>
      <c r="I121" s="183">
        <f ca="1">TblPop[[#This Row],[Employment]]</f>
        <v>1</v>
      </c>
      <c r="J121" s="183">
        <f ca="1">TblPop[[#This Row],[Total]]/TblPop[[#This Row],[Net max]]</f>
        <v>1</v>
      </c>
      <c r="K121" s="306">
        <f>TblRezone[[#This Row],[Hour]]</f>
        <v>118</v>
      </c>
      <c r="L121" s="307">
        <f ca="1">TblImps[[#This Row],[Real time]]</f>
        <v>45285.874999999716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45285.874999999716</v>
      </c>
      <c r="BZ121" s="317">
        <f ca="1">OFFSET(TblImps[[#This Row],[Servertime]],-1,0)+1/24</f>
        <v>45285.874999999716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776</v>
      </c>
      <c r="I122" s="183">
        <f ca="1">TblPop[[#This Row],[Employment]]</f>
        <v>1</v>
      </c>
      <c r="J122" s="183">
        <f ca="1">TblPop[[#This Row],[Total]]/TblPop[[#This Row],[Net max]]</f>
        <v>1</v>
      </c>
      <c r="K122" s="306">
        <f>TblRezone[[#This Row],[Hour]]</f>
        <v>119</v>
      </c>
      <c r="L122" s="307">
        <f ca="1">TblImps[[#This Row],[Real time]]</f>
        <v>45285.91666666638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45285.91666666638</v>
      </c>
      <c r="BZ122" s="317">
        <f ca="1">OFFSET(TblImps[[#This Row],[Servertime]],-1,0)+1/24</f>
        <v>45285.91666666638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776</v>
      </c>
      <c r="I123" s="183">
        <f ca="1">TblPop[[#This Row],[Employment]]</f>
        <v>1</v>
      </c>
      <c r="J123" s="183">
        <f ca="1">TblPop[[#This Row],[Total]]/TblPop[[#This Row],[Net max]]</f>
        <v>1</v>
      </c>
      <c r="K123" s="306">
        <f>TblRezone[[#This Row],[Hour]]</f>
        <v>120</v>
      </c>
      <c r="L123" s="307">
        <f ca="1">TblImps[[#This Row],[Real time]]</f>
        <v>45285.958333333045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45285.958333333045</v>
      </c>
      <c r="BZ123" s="317">
        <f ca="1">OFFSET(TblImps[[#This Row],[Servertime]],-1,0)+1/24</f>
        <v>45285.958333333045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776</v>
      </c>
      <c r="I124" s="183">
        <f ca="1">TblPop[[#This Row],[Employment]]</f>
        <v>1</v>
      </c>
      <c r="J124" s="183">
        <f ca="1">TblPop[[#This Row],[Total]]/TblPop[[#This Row],[Net max]]</f>
        <v>1</v>
      </c>
      <c r="K124" s="306">
        <f>TblRezone[[#This Row],[Hour]]</f>
        <v>121</v>
      </c>
      <c r="L124" s="307">
        <f ca="1">TblImps[[#This Row],[Real time]]</f>
        <v>45285.999999999709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45285.999999999709</v>
      </c>
      <c r="BZ124" s="317">
        <f ca="1">OFFSET(TblImps[[#This Row],[Servertime]],-1,0)+1/24</f>
        <v>45285.999999999709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776</v>
      </c>
      <c r="I125" s="183">
        <f ca="1">TblPop[[#This Row],[Employment]]</f>
        <v>1</v>
      </c>
      <c r="J125" s="183">
        <f ca="1">TblPop[[#This Row],[Total]]/TblPop[[#This Row],[Net max]]</f>
        <v>1</v>
      </c>
      <c r="K125" s="306">
        <f>TblRezone[[#This Row],[Hour]]</f>
        <v>122</v>
      </c>
      <c r="L125" s="307">
        <f ca="1">TblImps[[#This Row],[Real time]]</f>
        <v>45286.041666666373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45286.041666666373</v>
      </c>
      <c r="BZ125" s="317">
        <f ca="1">OFFSET(TblImps[[#This Row],[Servertime]],-1,0)+1/24</f>
        <v>45286.041666666373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776</v>
      </c>
      <c r="I126" s="183">
        <f ca="1">TblPop[[#This Row],[Employment]]</f>
        <v>1</v>
      </c>
      <c r="J126" s="183">
        <f ca="1">TblPop[[#This Row],[Total]]/TblPop[[#This Row],[Net max]]</f>
        <v>1</v>
      </c>
      <c r="K126" s="306">
        <f>TblRezone[[#This Row],[Hour]]</f>
        <v>123</v>
      </c>
      <c r="L126" s="307">
        <f ca="1">TblImps[[#This Row],[Real time]]</f>
        <v>45286.083333333037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45286.083333333037</v>
      </c>
      <c r="BZ126" s="317">
        <f ca="1">OFFSET(TblImps[[#This Row],[Servertime]],-1,0)+1/24</f>
        <v>45286.083333333037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776</v>
      </c>
      <c r="I127" s="183">
        <f ca="1">TblPop[[#This Row],[Employment]]</f>
        <v>1</v>
      </c>
      <c r="J127" s="183">
        <f ca="1">TblPop[[#This Row],[Total]]/TblPop[[#This Row],[Net max]]</f>
        <v>1</v>
      </c>
      <c r="K127" s="306">
        <f>TblRezone[[#This Row],[Hour]]</f>
        <v>124</v>
      </c>
      <c r="L127" s="307">
        <f ca="1">TblImps[[#This Row],[Real time]]</f>
        <v>45286.124999999702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45286.124999999702</v>
      </c>
      <c r="BZ127" s="317">
        <f ca="1">OFFSET(TblImps[[#This Row],[Servertime]],-1,0)+1/24</f>
        <v>45286.124999999702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776</v>
      </c>
      <c r="I128" s="183">
        <f ca="1">TblPop[[#This Row],[Employment]]</f>
        <v>1</v>
      </c>
      <c r="J128" s="183">
        <f ca="1">TblPop[[#This Row],[Total]]/TblPop[[#This Row],[Net max]]</f>
        <v>1</v>
      </c>
      <c r="K128" s="306">
        <f>TblRezone[[#This Row],[Hour]]</f>
        <v>125</v>
      </c>
      <c r="L128" s="307">
        <f ca="1">TblImps[[#This Row],[Real time]]</f>
        <v>45286.166666666366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45286.166666666366</v>
      </c>
      <c r="BZ128" s="317">
        <f ca="1">OFFSET(TblImps[[#This Row],[Servertime]],-1,0)+1/24</f>
        <v>45286.166666666366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776</v>
      </c>
      <c r="I129" s="183">
        <f ca="1">TblPop[[#This Row],[Employment]]</f>
        <v>1</v>
      </c>
      <c r="J129" s="183">
        <f ca="1">TblPop[[#This Row],[Total]]/TblPop[[#This Row],[Net max]]</f>
        <v>1</v>
      </c>
      <c r="K129" s="306">
        <f>TblRezone[[#This Row],[Hour]]</f>
        <v>126</v>
      </c>
      <c r="L129" s="307">
        <f ca="1">TblImps[[#This Row],[Real time]]</f>
        <v>45286.20833333303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45286.20833333303</v>
      </c>
      <c r="BZ129" s="317">
        <f ca="1">OFFSET(TblImps[[#This Row],[Servertime]],-1,0)+1/24</f>
        <v>45286.20833333303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776</v>
      </c>
      <c r="I130" s="183">
        <f ca="1">TblPop[[#This Row],[Employment]]</f>
        <v>1</v>
      </c>
      <c r="J130" s="183">
        <f ca="1">TblPop[[#This Row],[Total]]/TblPop[[#This Row],[Net max]]</f>
        <v>1</v>
      </c>
      <c r="K130" s="306">
        <f>TblRezone[[#This Row],[Hour]]</f>
        <v>127</v>
      </c>
      <c r="L130" s="307">
        <f ca="1">TblImps[[#This Row],[Real time]]</f>
        <v>45286.249999999694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45286.249999999694</v>
      </c>
      <c r="BZ130" s="317">
        <f ca="1">OFFSET(TblImps[[#This Row],[Servertime]],-1,0)+1/24</f>
        <v>45286.249999999694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776</v>
      </c>
      <c r="I131" s="183">
        <f ca="1">TblPop[[#This Row],[Employment]]</f>
        <v>1</v>
      </c>
      <c r="J131" s="183">
        <f ca="1">TblPop[[#This Row],[Total]]/TblPop[[#This Row],[Net max]]</f>
        <v>1</v>
      </c>
      <c r="K131" s="306">
        <f>TblRezone[[#This Row],[Hour]]</f>
        <v>128</v>
      </c>
      <c r="L131" s="307">
        <f ca="1">TblImps[[#This Row],[Real time]]</f>
        <v>45286.291666666359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45286.291666666359</v>
      </c>
      <c r="BZ131" s="317">
        <f ca="1">OFFSET(TblImps[[#This Row],[Servertime]],-1,0)+1/24</f>
        <v>45286.291666666359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776</v>
      </c>
      <c r="I132" s="183">
        <f ca="1">TblPop[[#This Row],[Employment]]</f>
        <v>1</v>
      </c>
      <c r="J132" s="183">
        <f ca="1">TblPop[[#This Row],[Total]]/TblPop[[#This Row],[Net max]]</f>
        <v>1</v>
      </c>
      <c r="K132" s="306">
        <f>TblRezone[[#This Row],[Hour]]</f>
        <v>129</v>
      </c>
      <c r="L132" s="307">
        <f ca="1">TblImps[[#This Row],[Real time]]</f>
        <v>45286.333333333023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45286.333333333023</v>
      </c>
      <c r="BZ132" s="317">
        <f ca="1">OFFSET(TblImps[[#This Row],[Servertime]],-1,0)+1/24</f>
        <v>45286.333333333023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776</v>
      </c>
      <c r="I133" s="183">
        <f ca="1">TblPop[[#This Row],[Employment]]</f>
        <v>1</v>
      </c>
      <c r="J133" s="183">
        <f ca="1">TblPop[[#This Row],[Total]]/TblPop[[#This Row],[Net max]]</f>
        <v>1</v>
      </c>
      <c r="K133" s="306">
        <f>TblRezone[[#This Row],[Hour]]</f>
        <v>130</v>
      </c>
      <c r="L133" s="307">
        <f ca="1">TblImps[[#This Row],[Real time]]</f>
        <v>45286.374999999687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45286.374999999687</v>
      </c>
      <c r="BZ133" s="317">
        <f ca="1">OFFSET(TblImps[[#This Row],[Servertime]],-1,0)+1/24</f>
        <v>45286.374999999687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776</v>
      </c>
      <c r="I134" s="183">
        <f ca="1">TblPop[[#This Row],[Employment]]</f>
        <v>1</v>
      </c>
      <c r="J134" s="183">
        <f ca="1">TblPop[[#This Row],[Total]]/TblPop[[#This Row],[Net max]]</f>
        <v>1</v>
      </c>
      <c r="K134" s="306">
        <f>TblRezone[[#This Row],[Hour]]</f>
        <v>131</v>
      </c>
      <c r="L134" s="307">
        <f ca="1">TblImps[[#This Row],[Real time]]</f>
        <v>45286.416666666351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45286.416666666351</v>
      </c>
      <c r="BZ134" s="317">
        <f ca="1">OFFSET(TblImps[[#This Row],[Servertime]],-1,0)+1/24</f>
        <v>45286.416666666351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776</v>
      </c>
      <c r="I135" s="183">
        <f ca="1">TblPop[[#This Row],[Employment]]</f>
        <v>1</v>
      </c>
      <c r="J135" s="183">
        <f ca="1">TblPop[[#This Row],[Total]]/TblPop[[#This Row],[Net max]]</f>
        <v>1</v>
      </c>
      <c r="K135" s="306">
        <f>TblRezone[[#This Row],[Hour]]</f>
        <v>132</v>
      </c>
      <c r="L135" s="307">
        <f ca="1">TblImps[[#This Row],[Real time]]</f>
        <v>45286.458333333016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45286.458333333016</v>
      </c>
      <c r="BZ135" s="317">
        <f ca="1">OFFSET(TblImps[[#This Row],[Servertime]],-1,0)+1/24</f>
        <v>45286.458333333016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776</v>
      </c>
      <c r="I136" s="183">
        <f ca="1">TblPop[[#This Row],[Employment]]</f>
        <v>0</v>
      </c>
      <c r="J136" s="183">
        <f ca="1">TblPop[[#This Row],[Total]]/TblPop[[#This Row],[Net max]]</f>
        <v>1</v>
      </c>
      <c r="K136" s="306">
        <f>TblRezone[[#This Row],[Hour]]</f>
        <v>133</v>
      </c>
      <c r="L136" s="307">
        <f ca="1">TblImps[[#This Row],[Real time]]</f>
        <v>45286.49999999968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45286.49999999968</v>
      </c>
      <c r="BZ136" s="317">
        <f ca="1">OFFSET(TblImps[[#This Row],[Servertime]],-1,0)+1/24</f>
        <v>45286.49999999968</v>
      </c>
      <c r="CA136" s="57"/>
      <c r="CB136" s="315"/>
      <c r="CC136" s="315"/>
    </row>
    <row r="1269" spans="2:23" x14ac:dyDescent="0.2">
      <c r="B1269" s="496" t="s">
        <v>317</v>
      </c>
      <c r="C1269" s="453"/>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6" priority="8" stopIfTrue="1">
      <formula>ROW()-2=#REF!</formula>
    </cfRule>
  </conditionalFormatting>
  <conditionalFormatting sqref="A1269:CC1269">
    <cfRule type="expression" dxfId="135" priority="9" stopIfTrue="1">
      <formula>$B$1270&gt;84</formula>
    </cfRule>
  </conditionalFormatting>
  <conditionalFormatting sqref="A1269:XFD1270">
    <cfRule type="expression" dxfId="134" priority="10" stopIfTrue="1">
      <formula>$B$1270&gt;144</formula>
    </cfRule>
  </conditionalFormatting>
  <conditionalFormatting sqref="BV76">
    <cfRule type="expression" dxfId="133" priority="20" stopIfTrue="1">
      <formula>ISERROR(BV76)</formula>
    </cfRule>
  </conditionalFormatting>
  <conditionalFormatting sqref="A4:BZ136">
    <cfRule type="expression" dxfId="132" priority="1" stopIfTrue="1">
      <formula>ROW()-3=$B$1270</formula>
    </cfRule>
    <cfRule type="expression" dxfId="131" priority="2" stopIfTrue="1">
      <formula>OR(ROW()-3=$B$1270,A4&lt;0)</formula>
    </cfRule>
    <cfRule type="expression" dxfId="130" priority="7">
      <formula>$K4=73</formula>
    </cfRule>
    <cfRule type="expression" dxfId="129" priority="12">
      <formula>ROUND(($K4-1)/12,0)=INT($K4-1)/12</formula>
    </cfRule>
  </conditionalFormatting>
  <conditionalFormatting sqref="BV4:BV136">
    <cfRule type="expression" dxfId="128" priority="15" stopIfTrue="1">
      <formula>AND(ROW()-3=$B$1270,ISERROR(BV4))</formula>
    </cfRule>
    <cfRule type="expression" dxfId="127" priority="17" stopIfTrue="1">
      <formula>ISERROR(BV4)</formula>
    </cfRule>
  </conditionalFormatting>
  <conditionalFormatting sqref="A1:XFD3">
    <cfRule type="expression" dxfId="126"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473</v>
      </c>
      <c r="P16" s="39"/>
    </row>
    <row r="27" spans="8:9" ht="12.75" customHeight="1" x14ac:dyDescent="0.2"/>
    <row r="28" spans="8:9" x14ac:dyDescent="0.2">
      <c r="H28" s="28" t="s">
        <v>473</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1007</v>
      </c>
      <c r="D2" s="41" t="s">
        <v>938</v>
      </c>
      <c r="E2" s="41" t="s">
        <v>1009</v>
      </c>
    </row>
    <row r="3" spans="2:5" ht="15.75" x14ac:dyDescent="0.25">
      <c r="B3" s="40" t="s">
        <v>986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987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989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988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992</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997</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998</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999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1000</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1001</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1003</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1006</v>
      </c>
      <c r="C23" s="40" t="s">
        <v>1008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4"/>
  <sheetViews>
    <sheetView topLeftCell="A73" zoomScale="70" zoomScaleNormal="70" workbookViewId="0">
      <selection activeCell="D154" sqref="D154"/>
    </sheetView>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537</v>
      </c>
      <c r="B11" s="45">
        <v>25</v>
      </c>
      <c r="C11" s="45" t="s">
        <v>8</v>
      </c>
    </row>
    <row r="12" spans="1:6" x14ac:dyDescent="0.2">
      <c r="A12" s="329" t="s">
        <v>67</v>
      </c>
      <c r="B12" s="266">
        <v>1.75</v>
      </c>
      <c r="C12" s="45" t="s">
        <v>512</v>
      </c>
      <c r="D12" s="159">
        <v>0.35</v>
      </c>
      <c r="E12" s="45" t="s">
        <v>438</v>
      </c>
    </row>
    <row r="13" spans="1:6" x14ac:dyDescent="0.2">
      <c r="A13" s="329" t="s">
        <v>65</v>
      </c>
      <c r="B13" s="266">
        <v>1.75</v>
      </c>
      <c r="C13" s="45" t="s">
        <v>513</v>
      </c>
      <c r="D13" s="159">
        <v>0.35</v>
      </c>
      <c r="E13" s="45" t="s">
        <v>438</v>
      </c>
    </row>
    <row r="14" spans="1:6" x14ac:dyDescent="0.2">
      <c r="A14" s="329" t="s">
        <v>482</v>
      </c>
      <c r="B14" s="45">
        <v>0</v>
      </c>
      <c r="C14" s="45" t="s">
        <v>483</v>
      </c>
      <c r="D14" s="330"/>
      <c r="F14" s="159"/>
    </row>
    <row r="15" spans="1:6" x14ac:dyDescent="0.2">
      <c r="B15" s="45">
        <v>3.5</v>
      </c>
      <c r="C15" s="45" t="s">
        <v>484</v>
      </c>
      <c r="D15" s="331">
        <v>0.35</v>
      </c>
      <c r="E15" s="45" t="s">
        <v>438</v>
      </c>
      <c r="F15" s="159"/>
    </row>
    <row r="16" spans="1:6" x14ac:dyDescent="0.2">
      <c r="A16" s="329" t="s">
        <v>479</v>
      </c>
      <c r="B16" s="45">
        <v>0</v>
      </c>
      <c r="C16" s="45" t="s">
        <v>486</v>
      </c>
      <c r="D16" s="331">
        <v>0</v>
      </c>
      <c r="E16" s="45" t="s">
        <v>438</v>
      </c>
      <c r="F16" s="159"/>
    </row>
    <row r="17" spans="1:19" x14ac:dyDescent="0.2">
      <c r="B17" s="45">
        <v>3.5</v>
      </c>
      <c r="C17" s="45" t="s">
        <v>485</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2.6</v>
      </c>
      <c r="C20" s="45" t="s">
        <v>487</v>
      </c>
    </row>
    <row r="21" spans="1:19" x14ac:dyDescent="0.2">
      <c r="A21" s="329" t="s">
        <v>455</v>
      </c>
      <c r="B21" s="332">
        <v>5</v>
      </c>
      <c r="C21" s="45" t="s">
        <v>456</v>
      </c>
      <c r="D21" s="159">
        <v>0.5</v>
      </c>
      <c r="E21" s="45" t="s">
        <v>438</v>
      </c>
    </row>
    <row r="22" spans="1:19" x14ac:dyDescent="0.2">
      <c r="B22" s="332">
        <v>5</v>
      </c>
      <c r="C22" s="45" t="s">
        <v>457</v>
      </c>
      <c r="D22" s="159">
        <v>0.5</v>
      </c>
      <c r="E22" s="45" t="s">
        <v>438</v>
      </c>
    </row>
    <row r="23" spans="1:19" x14ac:dyDescent="0.2">
      <c r="A23" s="329" t="s">
        <v>1074</v>
      </c>
      <c r="B23" s="332"/>
      <c r="C23" s="45" t="s">
        <v>1075</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510</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1095</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472</v>
      </c>
      <c r="U62" s="160"/>
    </row>
    <row r="63" spans="1:21" x14ac:dyDescent="0.2">
      <c r="A63" s="328" t="s">
        <v>170</v>
      </c>
    </row>
    <row r="64" spans="1:21" x14ac:dyDescent="0.2">
      <c r="A64" s="329" t="s">
        <v>346</v>
      </c>
      <c r="B64" s="45">
        <v>36</v>
      </c>
      <c r="C64" s="45" t="s">
        <v>347</v>
      </c>
      <c r="D64" s="45" t="s">
        <v>348</v>
      </c>
      <c r="L64" s="45" t="s">
        <v>471</v>
      </c>
      <c r="M64" s="45">
        <v>3780</v>
      </c>
      <c r="U64" s="159"/>
    </row>
    <row r="65" spans="1:21" x14ac:dyDescent="0.2">
      <c r="A65" s="329" t="s">
        <v>172</v>
      </c>
      <c r="B65" s="45">
        <v>30</v>
      </c>
      <c r="C65" s="45" t="s">
        <v>271</v>
      </c>
    </row>
    <row r="66" spans="1:21" x14ac:dyDescent="0.2">
      <c r="A66" s="329" t="s">
        <v>478</v>
      </c>
      <c r="B66" s="45">
        <v>15</v>
      </c>
      <c r="C66" s="45" t="s">
        <v>271</v>
      </c>
      <c r="L66" s="5" t="s">
        <v>629</v>
      </c>
      <c r="U66" s="159"/>
    </row>
    <row r="67" spans="1:21" x14ac:dyDescent="0.2">
      <c r="A67" s="329" t="s">
        <v>350</v>
      </c>
      <c r="B67" s="45">
        <v>15</v>
      </c>
      <c r="C67" s="45" t="s">
        <v>271</v>
      </c>
      <c r="L67" s="111" t="s">
        <v>539</v>
      </c>
      <c r="M67" s="434">
        <v>2.5000000000000001E-2</v>
      </c>
      <c r="N67" s="45" t="s">
        <v>634</v>
      </c>
      <c r="S67" s="45" t="s">
        <v>683</v>
      </c>
      <c r="U67" s="159"/>
    </row>
    <row r="68" spans="1:21" x14ac:dyDescent="0.2">
      <c r="A68" s="329" t="s">
        <v>171</v>
      </c>
      <c r="B68" s="45">
        <v>15</v>
      </c>
      <c r="C68" s="45" t="str">
        <f>C65</f>
        <v>peasants</v>
      </c>
      <c r="L68" s="111" t="s">
        <v>541</v>
      </c>
      <c r="M68" s="434">
        <v>0.05</v>
      </c>
      <c r="N68" s="45" t="s">
        <v>635</v>
      </c>
      <c r="S68" s="45" t="s">
        <v>684</v>
      </c>
    </row>
    <row r="69" spans="1:21" x14ac:dyDescent="0.2">
      <c r="A69" s="329" t="s">
        <v>272</v>
      </c>
      <c r="B69" s="45">
        <f>IF(OR(Overview!$B$14="Halfling",Overview!$B$14="Dwarf",Overview!$B$14="Gnome"),10,IF(race="Nomad",25,5))</f>
        <v>5</v>
      </c>
      <c r="L69" s="45" t="s">
        <v>542</v>
      </c>
      <c r="M69" s="2">
        <v>0.05</v>
      </c>
      <c r="N69" s="45" t="s">
        <v>636</v>
      </c>
      <c r="S69" s="45" t="s">
        <v>685</v>
      </c>
    </row>
    <row r="70" spans="1:21" x14ac:dyDescent="0.2">
      <c r="L70" s="45" t="s">
        <v>544</v>
      </c>
      <c r="M70" s="434">
        <v>7.4999999999999997E-2</v>
      </c>
      <c r="N70" s="45" t="s">
        <v>634</v>
      </c>
      <c r="S70" s="45" t="s">
        <v>686</v>
      </c>
      <c r="T70" s="111"/>
      <c r="U70" s="160"/>
    </row>
    <row r="71" spans="1:21" x14ac:dyDescent="0.2">
      <c r="A71" s="343" t="s">
        <v>273</v>
      </c>
      <c r="L71" s="45" t="s">
        <v>546</v>
      </c>
      <c r="M71" s="434">
        <v>0.02</v>
      </c>
      <c r="N71" s="45" t="s">
        <v>637</v>
      </c>
      <c r="S71" s="45" t="s">
        <v>687</v>
      </c>
      <c r="U71" s="160"/>
    </row>
    <row r="72" spans="1:21" x14ac:dyDescent="0.2">
      <c r="A72" s="329" t="str">
        <f>CONCATENATE("Your race is ",Overview!B14)</f>
        <v>Your race is Human</v>
      </c>
      <c r="L72" s="45" t="s">
        <v>547</v>
      </c>
      <c r="M72" s="2">
        <v>0.05</v>
      </c>
      <c r="N72" s="45" t="s">
        <v>672</v>
      </c>
      <c r="S72" s="111" t="s">
        <v>698</v>
      </c>
      <c r="T72" s="111"/>
      <c r="U72" s="159"/>
    </row>
    <row r="73" spans="1:21" x14ac:dyDescent="0.2">
      <c r="L73" s="45" t="s">
        <v>548</v>
      </c>
      <c r="M73" s="2">
        <v>0.1</v>
      </c>
      <c r="N73" s="45" t="s">
        <v>753</v>
      </c>
      <c r="S73" s="111" t="s">
        <v>727</v>
      </c>
      <c r="T73" s="111"/>
      <c r="U73" s="159"/>
    </row>
    <row r="74" spans="1:21" x14ac:dyDescent="0.2">
      <c r="A74" s="328" t="s">
        <v>203</v>
      </c>
      <c r="B74" s="45" t="s">
        <v>274</v>
      </c>
      <c r="F74" s="45" t="s">
        <v>208</v>
      </c>
      <c r="L74" s="45" t="s">
        <v>549</v>
      </c>
      <c r="M74" s="2">
        <v>-0.1</v>
      </c>
      <c r="N74" s="45" t="s">
        <v>670</v>
      </c>
      <c r="O74" s="45" t="s">
        <v>640</v>
      </c>
      <c r="S74" s="111" t="s">
        <v>690</v>
      </c>
      <c r="T74" s="111"/>
      <c r="U74" s="159"/>
    </row>
    <row r="75" spans="1:21" x14ac:dyDescent="0.2">
      <c r="A75" s="329" t="s">
        <v>198</v>
      </c>
      <c r="B75" s="45">
        <v>2</v>
      </c>
      <c r="C75" s="45" t="s">
        <v>204</v>
      </c>
      <c r="D75" s="342"/>
      <c r="F75" s="342">
        <v>0.1</v>
      </c>
      <c r="G75" s="45" t="s">
        <v>107</v>
      </c>
      <c r="L75" s="45" t="s">
        <v>550</v>
      </c>
      <c r="M75" s="2">
        <v>-0.05</v>
      </c>
      <c r="N75" s="45" t="s">
        <v>677</v>
      </c>
      <c r="O75" s="159">
        <v>-0.15</v>
      </c>
      <c r="P75" s="45" t="s">
        <v>655</v>
      </c>
      <c r="S75" s="111" t="s">
        <v>709</v>
      </c>
      <c r="T75" s="111"/>
      <c r="U75" s="160"/>
    </row>
    <row r="76" spans="1:21" x14ac:dyDescent="0.2">
      <c r="A76" s="329" t="s">
        <v>199</v>
      </c>
      <c r="B76" s="45">
        <v>2</v>
      </c>
      <c r="C76" s="45" t="s">
        <v>204</v>
      </c>
      <c r="D76" s="342"/>
      <c r="F76" s="342">
        <v>0.1</v>
      </c>
      <c r="G76" s="45" t="s">
        <v>110</v>
      </c>
      <c r="L76" s="45" t="s">
        <v>552</v>
      </c>
      <c r="M76" s="434">
        <v>-2.5000000000000001E-2</v>
      </c>
      <c r="N76" s="45" t="s">
        <v>641</v>
      </c>
      <c r="S76" s="111" t="s">
        <v>691</v>
      </c>
      <c r="T76" s="111"/>
      <c r="U76" s="159"/>
    </row>
    <row r="77" spans="1:21" x14ac:dyDescent="0.2">
      <c r="A77" s="329" t="s">
        <v>205</v>
      </c>
      <c r="B77" s="45">
        <v>2.5</v>
      </c>
      <c r="C77" s="45" t="s">
        <v>204</v>
      </c>
      <c r="D77" s="342"/>
      <c r="F77" s="342">
        <v>0.1</v>
      </c>
      <c r="G77" s="45" t="s">
        <v>32</v>
      </c>
      <c r="L77" s="45" t="s">
        <v>554</v>
      </c>
      <c r="M77" s="2">
        <v>-0.1</v>
      </c>
      <c r="N77" s="45" t="s">
        <v>754</v>
      </c>
      <c r="S77" s="111" t="s">
        <v>1067</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555</v>
      </c>
      <c r="M79" s="434">
        <v>-0.1</v>
      </c>
      <c r="N79" s="45" t="s">
        <v>643</v>
      </c>
      <c r="S79" s="111" t="s">
        <v>693</v>
      </c>
      <c r="T79" s="111"/>
      <c r="U79" s="160"/>
    </row>
    <row r="80" spans="1:21" x14ac:dyDescent="0.2">
      <c r="A80" s="329" t="s">
        <v>531</v>
      </c>
      <c r="B80" s="45">
        <v>5</v>
      </c>
      <c r="C80" s="45" t="s">
        <v>204</v>
      </c>
      <c r="D80" s="342"/>
      <c r="F80" s="342">
        <v>0.2</v>
      </c>
      <c r="G80" s="45" t="s">
        <v>110</v>
      </c>
      <c r="H80" s="45" t="s">
        <v>248</v>
      </c>
      <c r="L80" s="45" t="s">
        <v>556</v>
      </c>
      <c r="M80" s="2">
        <v>0.15</v>
      </c>
      <c r="N80" s="45" t="s">
        <v>644</v>
      </c>
      <c r="S80" s="111" t="s">
        <v>694</v>
      </c>
      <c r="T80" s="111"/>
      <c r="U80" s="159"/>
    </row>
    <row r="81" spans="1:23" x14ac:dyDescent="0.2">
      <c r="A81" s="329" t="s">
        <v>532</v>
      </c>
      <c r="B81" s="45">
        <v>5</v>
      </c>
      <c r="C81" s="45" t="s">
        <v>204</v>
      </c>
      <c r="D81" s="342"/>
      <c r="F81" s="342">
        <v>0.3</v>
      </c>
      <c r="G81" s="45" t="s">
        <v>533</v>
      </c>
      <c r="L81" s="45" t="s">
        <v>557</v>
      </c>
      <c r="M81" s="2">
        <v>-0.1</v>
      </c>
      <c r="N81" s="45" t="s">
        <v>645</v>
      </c>
      <c r="S81" s="111" t="s">
        <v>695</v>
      </c>
      <c r="T81" s="111"/>
      <c r="U81" s="159"/>
    </row>
    <row r="82" spans="1:23" x14ac:dyDescent="0.2">
      <c r="A82" s="329" t="s">
        <v>263</v>
      </c>
      <c r="B82" s="45">
        <f>B80</f>
        <v>5</v>
      </c>
      <c r="C82" s="45" t="str">
        <f>C80</f>
        <v>* Landsize</v>
      </c>
      <c r="D82" s="159"/>
      <c r="F82" s="342">
        <v>0.2</v>
      </c>
      <c r="G82" s="45" t="s">
        <v>32</v>
      </c>
      <c r="H82" s="45" t="s">
        <v>260</v>
      </c>
      <c r="L82" s="45" t="s">
        <v>559</v>
      </c>
      <c r="M82" s="2">
        <v>-0.2</v>
      </c>
      <c r="N82" s="45" t="s">
        <v>646</v>
      </c>
      <c r="O82" s="167">
        <v>0.1</v>
      </c>
      <c r="P82" s="5" t="s">
        <v>1103</v>
      </c>
      <c r="S82" s="111" t="s">
        <v>696</v>
      </c>
      <c r="T82" s="111"/>
      <c r="U82" s="159"/>
    </row>
    <row r="83" spans="1:23" x14ac:dyDescent="0.2">
      <c r="A83" s="329" t="s">
        <v>262</v>
      </c>
      <c r="B83" s="45">
        <f>B80</f>
        <v>5</v>
      </c>
      <c r="C83" s="45" t="str">
        <f>C80</f>
        <v>* Landsize</v>
      </c>
      <c r="D83" s="159"/>
      <c r="F83" s="342">
        <v>0.1</v>
      </c>
      <c r="G83" s="45" t="s">
        <v>31</v>
      </c>
      <c r="L83" s="45" t="s">
        <v>560</v>
      </c>
      <c r="M83" s="2">
        <v>0.01</v>
      </c>
      <c r="N83" s="45" t="s">
        <v>647</v>
      </c>
      <c r="O83" s="45" t="s">
        <v>640</v>
      </c>
      <c r="S83" s="111" t="s">
        <v>697</v>
      </c>
      <c r="T83" s="111"/>
      <c r="U83" s="159"/>
    </row>
    <row r="84" spans="1:23" x14ac:dyDescent="0.2">
      <c r="A84" s="329" t="s">
        <v>300</v>
      </c>
      <c r="B84" s="45">
        <v>5</v>
      </c>
      <c r="C84" s="45" t="str">
        <f t="shared" ref="C84:C90" si="0">C83</f>
        <v>* Landsize</v>
      </c>
      <c r="D84" s="159"/>
      <c r="F84" s="159">
        <v>0.2</v>
      </c>
      <c r="G84" s="45" t="s">
        <v>107</v>
      </c>
      <c r="H84" s="159">
        <v>0.1</v>
      </c>
      <c r="I84" s="45" t="s">
        <v>108</v>
      </c>
      <c r="L84" s="45" t="s">
        <v>561</v>
      </c>
      <c r="M84" s="29">
        <v>-2.5000000000000001E-2</v>
      </c>
      <c r="N84" s="45" t="s">
        <v>639</v>
      </c>
      <c r="O84" s="160">
        <v>-0.05</v>
      </c>
      <c r="P84" s="45" t="s">
        <v>755</v>
      </c>
      <c r="S84" s="111" t="s">
        <v>689</v>
      </c>
      <c r="T84" s="111"/>
    </row>
    <row r="85" spans="1:23" x14ac:dyDescent="0.2">
      <c r="A85" s="329" t="s">
        <v>337</v>
      </c>
      <c r="B85" s="45">
        <f>B84</f>
        <v>5</v>
      </c>
      <c r="C85" s="45" t="str">
        <f t="shared" si="0"/>
        <v>* Landsize</v>
      </c>
      <c r="D85" s="159"/>
      <c r="F85" s="159">
        <v>0.1</v>
      </c>
      <c r="G85" s="45" t="s">
        <v>31</v>
      </c>
      <c r="H85" s="159">
        <v>0.1</v>
      </c>
      <c r="I85" s="45" t="s">
        <v>32</v>
      </c>
      <c r="L85" s="45" t="s">
        <v>563</v>
      </c>
      <c r="M85">
        <v>1.25</v>
      </c>
      <c r="N85" s="45" t="s">
        <v>674</v>
      </c>
      <c r="S85" s="111" t="s">
        <v>716</v>
      </c>
      <c r="T85" s="111"/>
      <c r="U85" s="160"/>
    </row>
    <row r="86" spans="1:23" x14ac:dyDescent="0.2">
      <c r="A86" s="329" t="s">
        <v>336</v>
      </c>
      <c r="B86" s="45">
        <f>B85</f>
        <v>5</v>
      </c>
      <c r="C86" s="45" t="str">
        <f t="shared" si="0"/>
        <v>* Landsize</v>
      </c>
      <c r="D86" s="159"/>
      <c r="F86" s="159">
        <v>0.15</v>
      </c>
      <c r="G86" s="45" t="s">
        <v>32</v>
      </c>
      <c r="H86" s="159" t="s">
        <v>338</v>
      </c>
      <c r="L86" s="45" t="s">
        <v>565</v>
      </c>
      <c r="M86" s="2">
        <v>-0.15</v>
      </c>
      <c r="N86" s="45" t="s">
        <v>643</v>
      </c>
      <c r="S86" s="111" t="s">
        <v>700</v>
      </c>
      <c r="T86" s="111"/>
      <c r="U86" s="159"/>
    </row>
    <row r="87" spans="1:23" x14ac:dyDescent="0.2">
      <c r="A87" s="329" t="s">
        <v>343</v>
      </c>
      <c r="B87" s="45">
        <v>5</v>
      </c>
      <c r="C87" s="344" t="str">
        <f t="shared" si="0"/>
        <v>* Landsize</v>
      </c>
      <c r="D87" s="159"/>
      <c r="F87" s="262">
        <v>15</v>
      </c>
      <c r="G87" s="45" t="s">
        <v>344</v>
      </c>
      <c r="H87" s="159"/>
      <c r="L87" s="45" t="s">
        <v>566</v>
      </c>
      <c r="M87" s="434">
        <v>-2.5000000000000001E-2</v>
      </c>
      <c r="N87" s="45" t="s">
        <v>639</v>
      </c>
      <c r="O87" s="45">
        <v>-1</v>
      </c>
      <c r="P87" s="45" t="s">
        <v>671</v>
      </c>
      <c r="S87" s="111" t="s">
        <v>701</v>
      </c>
      <c r="T87" s="111"/>
      <c r="U87" s="159"/>
    </row>
    <row r="88" spans="1:23" x14ac:dyDescent="0.2">
      <c r="A88" s="329" t="s">
        <v>427</v>
      </c>
      <c r="B88" s="45">
        <v>5</v>
      </c>
      <c r="C88" s="45" t="str">
        <f t="shared" si="0"/>
        <v>* Landsize</v>
      </c>
      <c r="D88" s="159"/>
      <c r="F88" s="121">
        <v>0.05</v>
      </c>
      <c r="G88" s="45" t="s">
        <v>31</v>
      </c>
      <c r="L88" s="45" t="s">
        <v>567</v>
      </c>
      <c r="M88" s="434">
        <v>-2.5000000000000001E-2</v>
      </c>
      <c r="N88" s="45" t="s">
        <v>645</v>
      </c>
      <c r="S88" s="111" t="s">
        <v>702</v>
      </c>
      <c r="T88" s="111"/>
      <c r="U88" s="160"/>
    </row>
    <row r="89" spans="1:23" x14ac:dyDescent="0.2">
      <c r="A89" s="329" t="s">
        <v>1085</v>
      </c>
      <c r="B89" s="45">
        <v>5</v>
      </c>
      <c r="C89" s="45" t="str">
        <f t="shared" si="0"/>
        <v>* Landsize</v>
      </c>
      <c r="D89" s="121">
        <v>0.01</v>
      </c>
      <c r="E89" s="45" t="s">
        <v>360</v>
      </c>
      <c r="F89" s="159">
        <v>0.1</v>
      </c>
      <c r="G89" s="45" t="s">
        <v>1087</v>
      </c>
      <c r="M89"/>
      <c r="S89" s="111"/>
      <c r="T89" s="111"/>
    </row>
    <row r="90" spans="1:23" x14ac:dyDescent="0.2">
      <c r="A90" s="329" t="s">
        <v>1092</v>
      </c>
      <c r="B90" s="45">
        <v>5</v>
      </c>
      <c r="C90" s="45" t="str">
        <f t="shared" si="0"/>
        <v>* Landsize</v>
      </c>
      <c r="F90" s="159">
        <v>0.15</v>
      </c>
      <c r="G90" s="45" t="s">
        <v>106</v>
      </c>
      <c r="L90" s="45" t="s">
        <v>569</v>
      </c>
      <c r="M90" s="2">
        <v>0.05</v>
      </c>
      <c r="N90" s="45" t="s">
        <v>648</v>
      </c>
      <c r="S90" s="111" t="s">
        <v>703</v>
      </c>
      <c r="T90" s="111"/>
    </row>
    <row r="91" spans="1:23" x14ac:dyDescent="0.2">
      <c r="L91" s="45" t="s">
        <v>571</v>
      </c>
      <c r="M91" s="434">
        <v>2.5000000000000001E-2</v>
      </c>
      <c r="N91" s="45" t="s">
        <v>650</v>
      </c>
      <c r="S91" s="111" t="s">
        <v>704</v>
      </c>
      <c r="T91" s="111"/>
      <c r="U91" s="160"/>
    </row>
    <row r="92" spans="1:23" x14ac:dyDescent="0.2">
      <c r="A92" s="328" t="s">
        <v>82</v>
      </c>
      <c r="L92" s="45" t="s">
        <v>573</v>
      </c>
      <c r="M92" s="434">
        <v>7.4999999999999997E-2</v>
      </c>
      <c r="N92" s="45" t="s">
        <v>651</v>
      </c>
      <c r="O92" s="121">
        <v>0.25</v>
      </c>
      <c r="P92" s="45" t="s">
        <v>652</v>
      </c>
      <c r="S92" s="111" t="s">
        <v>705</v>
      </c>
      <c r="T92" s="111"/>
      <c r="U92" s="160"/>
      <c r="W92" s="159"/>
    </row>
    <row r="93" spans="1:23" x14ac:dyDescent="0.2">
      <c r="A93" s="329" t="s">
        <v>270</v>
      </c>
      <c r="B93" s="45">
        <f>IF(Overview!$B$14="Kobold",40,30)</f>
        <v>30</v>
      </c>
      <c r="C93" s="45" t="s">
        <v>241</v>
      </c>
      <c r="L93" s="45" t="s">
        <v>574</v>
      </c>
      <c r="M93" s="434">
        <v>0.1</v>
      </c>
      <c r="N93" s="45" t="s">
        <v>635</v>
      </c>
      <c r="O93" s="159">
        <v>0.05</v>
      </c>
      <c r="P93" s="45" t="s">
        <v>653</v>
      </c>
      <c r="S93" s="111" t="s">
        <v>706</v>
      </c>
      <c r="T93" s="111"/>
      <c r="U93" s="160"/>
      <c r="W93" s="159"/>
    </row>
    <row r="94" spans="1:23" x14ac:dyDescent="0.2">
      <c r="L94" s="45" t="s">
        <v>575</v>
      </c>
      <c r="M94" s="434">
        <v>-1.7500000000000002E-2</v>
      </c>
      <c r="N94" s="45" t="s">
        <v>638</v>
      </c>
      <c r="S94" s="111" t="s">
        <v>688</v>
      </c>
      <c r="T94" s="111"/>
    </row>
    <row r="95" spans="1:23" x14ac:dyDescent="0.2">
      <c r="A95" s="328" t="s">
        <v>353</v>
      </c>
      <c r="L95" s="45" t="s">
        <v>576</v>
      </c>
      <c r="M95" s="434">
        <v>1.4999999999999999E-2</v>
      </c>
      <c r="N95" s="45" t="s">
        <v>649</v>
      </c>
      <c r="S95" s="111" t="s">
        <v>699</v>
      </c>
      <c r="T95" s="111"/>
      <c r="U95" s="159"/>
    </row>
    <row r="96" spans="1:23" x14ac:dyDescent="0.2">
      <c r="A96" s="329" t="s">
        <v>505</v>
      </c>
      <c r="B96" s="45">
        <v>250</v>
      </c>
      <c r="L96" s="45" t="s">
        <v>577</v>
      </c>
      <c r="M96" s="434">
        <v>-7.4999999999999997E-2</v>
      </c>
      <c r="N96" s="45" t="s">
        <v>639</v>
      </c>
      <c r="O96" s="45">
        <v>-2</v>
      </c>
      <c r="P96" s="45" t="s">
        <v>671</v>
      </c>
      <c r="S96" s="111" t="s">
        <v>707</v>
      </c>
      <c r="T96" s="111"/>
      <c r="U96" s="160"/>
    </row>
    <row r="97" spans="1:23" x14ac:dyDescent="0.2">
      <c r="A97" s="329" t="s">
        <v>506</v>
      </c>
      <c r="B97" s="159">
        <v>0.01</v>
      </c>
      <c r="L97" s="45" t="s">
        <v>578</v>
      </c>
      <c r="M97" s="2">
        <v>-0.5</v>
      </c>
      <c r="N97" s="45" t="s">
        <v>654</v>
      </c>
      <c r="S97" s="111" t="s">
        <v>708</v>
      </c>
      <c r="T97" s="111"/>
      <c r="U97" s="159"/>
    </row>
    <row r="98" spans="1:23" x14ac:dyDescent="0.2">
      <c r="A98" s="329" t="s">
        <v>507</v>
      </c>
      <c r="B98" s="159">
        <v>0.01</v>
      </c>
      <c r="L98" s="45" t="s">
        <v>580</v>
      </c>
      <c r="M98" s="2">
        <v>-0.1</v>
      </c>
      <c r="N98" s="45" t="s">
        <v>642</v>
      </c>
      <c r="S98" s="111" t="s">
        <v>692</v>
      </c>
      <c r="T98" s="111"/>
      <c r="U98" s="159"/>
      <c r="W98" s="159"/>
    </row>
    <row r="99" spans="1:23" x14ac:dyDescent="0.2">
      <c r="A99" s="329" t="s">
        <v>508</v>
      </c>
      <c r="B99" s="159">
        <v>0.01</v>
      </c>
      <c r="M99"/>
      <c r="S99" s="111"/>
      <c r="T99" s="111"/>
    </row>
    <row r="100" spans="1:23" x14ac:dyDescent="0.2">
      <c r="L100" s="45" t="s">
        <v>582</v>
      </c>
      <c r="M100" s="434">
        <v>0.125</v>
      </c>
      <c r="N100" s="45" t="s">
        <v>656</v>
      </c>
      <c r="S100" s="111" t="s">
        <v>710</v>
      </c>
      <c r="T100" s="111"/>
      <c r="U100" s="160"/>
    </row>
    <row r="101" spans="1:23" x14ac:dyDescent="0.2">
      <c r="A101" s="328" t="s">
        <v>458</v>
      </c>
      <c r="L101" s="45" t="s">
        <v>583</v>
      </c>
      <c r="M101"/>
      <c r="N101" s="45" t="s">
        <v>630</v>
      </c>
      <c r="S101" s="111" t="s">
        <v>711</v>
      </c>
      <c r="T101" s="111"/>
    </row>
    <row r="102" spans="1:23" x14ac:dyDescent="0.2">
      <c r="L102" s="45" t="s">
        <v>584</v>
      </c>
      <c r="M102" s="434">
        <v>2.5000000000000001E-2</v>
      </c>
      <c r="N102" s="45" t="s">
        <v>650</v>
      </c>
      <c r="O102" s="160">
        <v>7.4999999999999997E-2</v>
      </c>
      <c r="P102" s="45" t="s">
        <v>648</v>
      </c>
      <c r="S102" s="111" t="s">
        <v>712</v>
      </c>
      <c r="T102" s="111"/>
      <c r="U102" s="160"/>
      <c r="W102" s="160"/>
    </row>
    <row r="103" spans="1:23" x14ac:dyDescent="0.2">
      <c r="A103" s="329" t="s">
        <v>459</v>
      </c>
      <c r="B103" s="45" t="s">
        <v>212</v>
      </c>
      <c r="D103" s="342">
        <v>0.3</v>
      </c>
      <c r="E103" s="45" t="s">
        <v>438</v>
      </c>
      <c r="L103" s="45" t="s">
        <v>585</v>
      </c>
      <c r="M103" s="2">
        <v>0.04</v>
      </c>
      <c r="N103" s="45" t="s">
        <v>637</v>
      </c>
      <c r="S103" s="111" t="s">
        <v>713</v>
      </c>
      <c r="T103" s="111"/>
      <c r="U103" s="159"/>
    </row>
    <row r="104" spans="1:23" x14ac:dyDescent="0.2">
      <c r="B104" s="45" t="s">
        <v>210</v>
      </c>
      <c r="D104" s="342">
        <v>0.2</v>
      </c>
      <c r="E104" s="45" t="s">
        <v>438</v>
      </c>
      <c r="L104" s="45" t="s">
        <v>586</v>
      </c>
      <c r="M104">
        <v>2</v>
      </c>
      <c r="N104" s="45" t="s">
        <v>1102</v>
      </c>
      <c r="S104" s="111" t="s">
        <v>1066</v>
      </c>
      <c r="T104" s="111"/>
      <c r="U104" s="159"/>
    </row>
    <row r="105" spans="1:23" x14ac:dyDescent="0.2">
      <c r="B105" s="45" t="s">
        <v>460</v>
      </c>
      <c r="D105" s="342">
        <v>0.3</v>
      </c>
      <c r="E105" s="45" t="s">
        <v>438</v>
      </c>
      <c r="L105" s="45" t="s">
        <v>587</v>
      </c>
      <c r="M105" s="434">
        <v>-0.1</v>
      </c>
      <c r="N105" s="45" t="s">
        <v>645</v>
      </c>
      <c r="S105" s="111" t="s">
        <v>715</v>
      </c>
      <c r="T105" s="111"/>
      <c r="U105" s="159"/>
    </row>
    <row r="106" spans="1:23" x14ac:dyDescent="0.2">
      <c r="B106" s="45" t="s">
        <v>461</v>
      </c>
      <c r="D106" s="342">
        <v>0.6</v>
      </c>
      <c r="E106" s="45" t="s">
        <v>438</v>
      </c>
      <c r="L106" s="45" t="s">
        <v>589</v>
      </c>
      <c r="M106">
        <v>-1</v>
      </c>
      <c r="N106" s="45" t="s">
        <v>756</v>
      </c>
      <c r="S106" s="111" t="s">
        <v>1068</v>
      </c>
      <c r="T106" s="111"/>
      <c r="U106" s="160"/>
    </row>
    <row r="107" spans="1:23" x14ac:dyDescent="0.2">
      <c r="L107" s="45" t="s">
        <v>590</v>
      </c>
      <c r="M107" s="2">
        <v>-0.2</v>
      </c>
      <c r="N107" s="45" t="s">
        <v>657</v>
      </c>
      <c r="S107" s="111" t="s">
        <v>714</v>
      </c>
      <c r="T107" s="111"/>
    </row>
    <row r="108" spans="1:23" x14ac:dyDescent="0.2">
      <c r="A108" s="329" t="s">
        <v>462</v>
      </c>
      <c r="B108" s="45" t="s">
        <v>212</v>
      </c>
      <c r="D108" s="45">
        <v>4000</v>
      </c>
      <c r="E108" s="45" t="s">
        <v>509</v>
      </c>
      <c r="M108"/>
    </row>
    <row r="109" spans="1:23" x14ac:dyDescent="0.2">
      <c r="B109" s="45" t="s">
        <v>210</v>
      </c>
      <c r="D109" s="45">
        <v>4000</v>
      </c>
      <c r="E109" s="45" t="s">
        <v>509</v>
      </c>
      <c r="L109" s="45" t="s">
        <v>591</v>
      </c>
      <c r="M109" s="434">
        <v>2.5000000000000001E-2</v>
      </c>
      <c r="N109" s="45" t="s">
        <v>1072</v>
      </c>
      <c r="O109" s="45" t="s">
        <v>659</v>
      </c>
      <c r="S109" s="111" t="s">
        <v>718</v>
      </c>
      <c r="T109" s="111"/>
      <c r="U109" s="159"/>
      <c r="W109" s="159"/>
    </row>
    <row r="110" spans="1:23" x14ac:dyDescent="0.2">
      <c r="B110" s="45" t="s">
        <v>460</v>
      </c>
      <c r="D110" s="45">
        <v>7500</v>
      </c>
      <c r="E110" s="45" t="s">
        <v>509</v>
      </c>
      <c r="L110" s="45" t="s">
        <v>592</v>
      </c>
      <c r="M110" s="2">
        <v>-0.2</v>
      </c>
      <c r="N110" s="45" t="s">
        <v>675</v>
      </c>
      <c r="O110" s="159">
        <v>-0.2</v>
      </c>
      <c r="P110" s="45" t="s">
        <v>658</v>
      </c>
      <c r="Q110" s="5"/>
      <c r="R110" s="5"/>
      <c r="S110" s="111" t="s">
        <v>717</v>
      </c>
      <c r="T110" s="111"/>
    </row>
    <row r="111" spans="1:23" x14ac:dyDescent="0.2">
      <c r="B111" s="45" t="s">
        <v>529</v>
      </c>
      <c r="D111" s="45">
        <v>5000</v>
      </c>
      <c r="E111" s="45" t="s">
        <v>509</v>
      </c>
      <c r="L111" s="45" t="s">
        <v>593</v>
      </c>
      <c r="M111" s="434">
        <v>-1.7500000000000002E-2</v>
      </c>
      <c r="N111" s="45" t="s">
        <v>638</v>
      </c>
      <c r="S111" s="111" t="s">
        <v>719</v>
      </c>
      <c r="T111" s="111"/>
      <c r="U111" s="159"/>
    </row>
    <row r="112" spans="1:23" x14ac:dyDescent="0.2">
      <c r="B112" s="45" t="s">
        <v>213</v>
      </c>
      <c r="D112" s="45">
        <v>5000</v>
      </c>
      <c r="E112" s="45" t="s">
        <v>509</v>
      </c>
      <c r="L112" s="45" t="s">
        <v>594</v>
      </c>
      <c r="M112" s="434">
        <v>2.5000000000000001E-2</v>
      </c>
      <c r="N112" s="45" t="s">
        <v>667</v>
      </c>
      <c r="O112" s="160">
        <v>7.4999999999999997E-2</v>
      </c>
      <c r="P112" s="45" t="s">
        <v>660</v>
      </c>
      <c r="S112" s="111" t="s">
        <v>720</v>
      </c>
      <c r="T112" s="111"/>
      <c r="U112" s="160"/>
      <c r="W112" s="160"/>
    </row>
    <row r="113" spans="1:23" x14ac:dyDescent="0.2">
      <c r="L113" s="45" t="s">
        <v>595</v>
      </c>
      <c r="M113" s="434">
        <v>-1.7500000000000002E-2</v>
      </c>
      <c r="N113" s="45" t="s">
        <v>638</v>
      </c>
      <c r="S113" s="111" t="s">
        <v>721</v>
      </c>
      <c r="T113" s="111"/>
      <c r="U113" s="159"/>
    </row>
    <row r="114" spans="1:23" x14ac:dyDescent="0.2">
      <c r="A114" s="328" t="s">
        <v>463</v>
      </c>
      <c r="F114" s="45" t="s">
        <v>465</v>
      </c>
      <c r="L114" s="45" t="s">
        <v>596</v>
      </c>
      <c r="M114">
        <v>1</v>
      </c>
      <c r="N114" s="45" t="s">
        <v>673</v>
      </c>
      <c r="S114" s="111" t="s">
        <v>395</v>
      </c>
      <c r="T114" s="111"/>
      <c r="U114" s="159"/>
      <c r="W114" s="159"/>
    </row>
    <row r="115" spans="1:23" x14ac:dyDescent="0.2">
      <c r="A115" s="329" t="s">
        <v>125</v>
      </c>
      <c r="B115" s="253"/>
      <c r="C115" s="345">
        <v>0.2</v>
      </c>
      <c r="D115" s="45" t="s">
        <v>469</v>
      </c>
      <c r="F115" s="180">
        <v>4.5</v>
      </c>
      <c r="L115" s="45" t="s">
        <v>597</v>
      </c>
      <c r="M115" s="2">
        <v>-0.01</v>
      </c>
      <c r="N115" s="45" t="s">
        <v>661</v>
      </c>
      <c r="S115" s="111" t="s">
        <v>723</v>
      </c>
      <c r="T115" s="111"/>
      <c r="U115" s="159"/>
    </row>
    <row r="116" spans="1:23" x14ac:dyDescent="0.2">
      <c r="A116" s="329" t="s">
        <v>126</v>
      </c>
      <c r="B116" s="119" t="s">
        <v>295</v>
      </c>
      <c r="C116" s="345">
        <v>0.2</v>
      </c>
      <c r="D116" s="45" t="s">
        <v>469</v>
      </c>
      <c r="F116" s="180">
        <v>4.5</v>
      </c>
      <c r="T116" s="111"/>
    </row>
    <row r="117" spans="1:23" x14ac:dyDescent="0.2">
      <c r="B117" s="45" t="s">
        <v>294</v>
      </c>
      <c r="C117" s="121">
        <v>0.2</v>
      </c>
      <c r="D117" s="45" t="s">
        <v>469</v>
      </c>
      <c r="F117" s="180">
        <v>4.5</v>
      </c>
      <c r="L117" s="45" t="s">
        <v>598</v>
      </c>
      <c r="M117" s="2">
        <v>0.01</v>
      </c>
      <c r="N117" s="45" t="s">
        <v>649</v>
      </c>
      <c r="O117" s="5">
        <v>1</v>
      </c>
      <c r="P117" s="5" t="s">
        <v>679</v>
      </c>
      <c r="S117" s="111" t="s">
        <v>722</v>
      </c>
      <c r="T117" s="111"/>
      <c r="U117" s="160"/>
      <c r="V117" s="45">
        <v>1</v>
      </c>
    </row>
    <row r="118" spans="1:23" x14ac:dyDescent="0.2">
      <c r="A118" s="329" t="s">
        <v>140</v>
      </c>
      <c r="B118" s="253"/>
      <c r="C118" s="345">
        <v>0.2</v>
      </c>
      <c r="D118" s="45" t="s">
        <v>469</v>
      </c>
      <c r="F118" s="180">
        <v>4</v>
      </c>
      <c r="L118" s="45" t="s">
        <v>599</v>
      </c>
      <c r="M118" s="434">
        <v>2.5000000000000001E-2</v>
      </c>
      <c r="N118" s="45" t="s">
        <v>650</v>
      </c>
      <c r="O118" s="159">
        <v>-0.05</v>
      </c>
      <c r="P118" s="45" t="s">
        <v>662</v>
      </c>
      <c r="S118" s="111" t="s">
        <v>725</v>
      </c>
      <c r="T118" s="111"/>
      <c r="U118" s="160"/>
      <c r="W118" s="159"/>
    </row>
    <row r="119" spans="1:23" x14ac:dyDescent="0.2">
      <c r="A119" s="329" t="s">
        <v>133</v>
      </c>
      <c r="B119" s="253"/>
      <c r="C119" s="345">
        <v>0.2</v>
      </c>
      <c r="D119" s="45" t="s">
        <v>470</v>
      </c>
      <c r="F119" s="180">
        <v>2</v>
      </c>
      <c r="L119" s="45" t="s">
        <v>601</v>
      </c>
      <c r="M119" s="2">
        <v>-0.05</v>
      </c>
      <c r="N119" s="45" t="s">
        <v>645</v>
      </c>
      <c r="O119" s="159">
        <v>-0.1</v>
      </c>
      <c r="P119" s="45" t="s">
        <v>658</v>
      </c>
      <c r="Q119" s="45">
        <v>5</v>
      </c>
      <c r="R119" s="45" t="s">
        <v>678</v>
      </c>
      <c r="S119" s="111" t="s">
        <v>1069</v>
      </c>
      <c r="T119" s="111"/>
      <c r="U119" s="159"/>
      <c r="W119" s="159"/>
    </row>
    <row r="120" spans="1:23" x14ac:dyDescent="0.2">
      <c r="A120" s="329" t="s">
        <v>1077</v>
      </c>
      <c r="B120" s="119" t="s">
        <v>295</v>
      </c>
      <c r="C120" s="345">
        <v>0.1</v>
      </c>
      <c r="D120" s="45" t="s">
        <v>298</v>
      </c>
      <c r="F120" s="180">
        <v>0</v>
      </c>
      <c r="L120" s="45" t="s">
        <v>602</v>
      </c>
      <c r="M120" s="434">
        <v>-0.125</v>
      </c>
      <c r="N120" s="45" t="s">
        <v>663</v>
      </c>
      <c r="S120" s="111" t="s">
        <v>726</v>
      </c>
      <c r="T120" s="111"/>
      <c r="U120" s="160"/>
    </row>
    <row r="121" spans="1:23" x14ac:dyDescent="0.2">
      <c r="B121" s="45" t="s">
        <v>294</v>
      </c>
      <c r="C121" s="346">
        <v>0.1</v>
      </c>
      <c r="D121" s="45" t="s">
        <v>298</v>
      </c>
      <c r="F121" s="180">
        <v>0</v>
      </c>
      <c r="L121" s="45" t="s">
        <v>604</v>
      </c>
      <c r="M121" s="434">
        <v>1.4999999999999999E-2</v>
      </c>
      <c r="N121" s="45" t="s">
        <v>649</v>
      </c>
      <c r="S121" s="111" t="s">
        <v>724</v>
      </c>
      <c r="T121" s="111"/>
      <c r="U121" s="159"/>
      <c r="V121" s="45">
        <v>1</v>
      </c>
    </row>
    <row r="122" spans="1:23" x14ac:dyDescent="0.2">
      <c r="A122" s="329" t="s">
        <v>464</v>
      </c>
      <c r="B122" s="253"/>
      <c r="C122" s="345">
        <v>0.2</v>
      </c>
      <c r="D122" s="45" t="s">
        <v>470</v>
      </c>
      <c r="F122" s="180">
        <v>3</v>
      </c>
      <c r="L122" s="45" t="s">
        <v>605</v>
      </c>
      <c r="M122" s="29">
        <v>7.4999999999999997E-2</v>
      </c>
      <c r="N122" s="45" t="s">
        <v>676</v>
      </c>
      <c r="O122" s="159">
        <v>-0.05</v>
      </c>
      <c r="P122" s="45" t="s">
        <v>664</v>
      </c>
      <c r="S122" s="111" t="s">
        <v>728</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606</v>
      </c>
      <c r="M124" s="2">
        <v>0.3</v>
      </c>
      <c r="N124" s="45" t="s">
        <v>665</v>
      </c>
      <c r="S124" s="111" t="s">
        <v>729</v>
      </c>
      <c r="T124" s="111"/>
      <c r="U124" s="159"/>
    </row>
    <row r="125" spans="1:23" x14ac:dyDescent="0.2">
      <c r="A125" s="329" t="s">
        <v>359</v>
      </c>
      <c r="B125" s="180" t="s">
        <v>468</v>
      </c>
      <c r="C125" s="119">
        <v>250</v>
      </c>
      <c r="D125" s="45" t="s">
        <v>467</v>
      </c>
      <c r="F125" s="180">
        <v>4</v>
      </c>
      <c r="L125" s="45" t="s">
        <v>608</v>
      </c>
      <c r="M125">
        <v>1.25</v>
      </c>
      <c r="N125" s="45" t="s">
        <v>680</v>
      </c>
      <c r="S125" s="111" t="s">
        <v>733</v>
      </c>
      <c r="T125" s="111"/>
      <c r="U125" s="159"/>
    </row>
    <row r="126" spans="1:23" x14ac:dyDescent="0.2">
      <c r="A126" s="329" t="s">
        <v>425</v>
      </c>
      <c r="B126" s="253"/>
      <c r="C126" s="121">
        <v>0.1</v>
      </c>
      <c r="D126" s="45" t="s">
        <v>500</v>
      </c>
      <c r="F126" s="180">
        <v>4</v>
      </c>
      <c r="L126" s="45" t="s">
        <v>610</v>
      </c>
      <c r="M126" s="434">
        <v>-7.4999999999999997E-2</v>
      </c>
      <c r="N126" s="45" t="s">
        <v>664</v>
      </c>
      <c r="O126" s="160">
        <v>7.4999999999999997E-3</v>
      </c>
      <c r="P126" s="45" t="s">
        <v>757</v>
      </c>
      <c r="S126" s="111" t="s">
        <v>1070</v>
      </c>
      <c r="T126" s="111"/>
      <c r="U126" s="159"/>
    </row>
    <row r="127" spans="1:23" x14ac:dyDescent="0.2">
      <c r="L127" s="45" t="s">
        <v>611</v>
      </c>
      <c r="M127" s="434">
        <v>2.5000000000000001E-2</v>
      </c>
      <c r="N127" s="45" t="s">
        <v>667</v>
      </c>
      <c r="S127" s="111" t="s">
        <v>731</v>
      </c>
      <c r="T127" s="111"/>
      <c r="U127" s="160"/>
    </row>
    <row r="128" spans="1:23" x14ac:dyDescent="0.2">
      <c r="A128" s="328" t="s">
        <v>266</v>
      </c>
      <c r="L128" s="45" t="s">
        <v>612</v>
      </c>
      <c r="M128" s="434">
        <v>-2.5000000000000001E-2</v>
      </c>
      <c r="N128" s="45" t="s">
        <v>641</v>
      </c>
      <c r="O128" s="5">
        <v>2</v>
      </c>
      <c r="P128" s="5" t="s">
        <v>679</v>
      </c>
      <c r="S128" s="111" t="s">
        <v>732</v>
      </c>
      <c r="T128" s="111"/>
      <c r="U128" s="160"/>
    </row>
    <row r="129" spans="1:23" x14ac:dyDescent="0.2">
      <c r="A129" s="329" t="s">
        <v>481</v>
      </c>
      <c r="B129" s="45">
        <v>20</v>
      </c>
      <c r="M129"/>
      <c r="S129" s="111"/>
      <c r="T129" s="111"/>
    </row>
    <row r="130" spans="1:23" x14ac:dyDescent="0.2">
      <c r="A130" s="329" t="s">
        <v>479</v>
      </c>
      <c r="B130" s="45">
        <v>0</v>
      </c>
      <c r="C130" s="45" t="s">
        <v>480</v>
      </c>
      <c r="L130" s="45" t="s">
        <v>614</v>
      </c>
      <c r="M130" s="2">
        <v>0.6</v>
      </c>
      <c r="N130" s="45" t="s">
        <v>758</v>
      </c>
      <c r="S130" s="111" t="s">
        <v>1071</v>
      </c>
      <c r="T130" s="111"/>
    </row>
    <row r="131" spans="1:23" x14ac:dyDescent="0.2">
      <c r="L131" s="45" t="s">
        <v>615</v>
      </c>
      <c r="M131" s="434">
        <v>-7.4999999999999997E-2</v>
      </c>
      <c r="N131" s="45" t="s">
        <v>664</v>
      </c>
      <c r="S131" s="111" t="s">
        <v>734</v>
      </c>
      <c r="T131" s="111"/>
      <c r="U131" s="160"/>
    </row>
    <row r="132" spans="1:23" x14ac:dyDescent="0.2">
      <c r="A132" s="328" t="s">
        <v>759</v>
      </c>
      <c r="L132" s="45" t="s">
        <v>617</v>
      </c>
      <c r="M132">
        <v>2</v>
      </c>
      <c r="N132" s="45" t="s">
        <v>681</v>
      </c>
      <c r="S132" s="111" t="s">
        <v>735</v>
      </c>
      <c r="T132" s="111"/>
    </row>
    <row r="133" spans="1:23" x14ac:dyDescent="0.2">
      <c r="A133" s="329" t="s">
        <v>89</v>
      </c>
      <c r="B133" s="45" t="s">
        <v>3</v>
      </c>
      <c r="L133" s="45" t="s">
        <v>619</v>
      </c>
      <c r="M133" s="2">
        <v>0.3</v>
      </c>
      <c r="N133" s="45" t="s">
        <v>668</v>
      </c>
      <c r="S133" s="111" t="s">
        <v>736</v>
      </c>
      <c r="T133" s="111"/>
      <c r="U133" s="159"/>
    </row>
    <row r="134" spans="1:23" x14ac:dyDescent="0.2">
      <c r="A134" s="329" t="s">
        <v>90</v>
      </c>
      <c r="B134" s="45" t="s">
        <v>3</v>
      </c>
      <c r="M134"/>
      <c r="S134" s="111"/>
      <c r="T134" s="111"/>
    </row>
    <row r="135" spans="1:23" x14ac:dyDescent="0.2">
      <c r="A135" s="329" t="s">
        <v>91</v>
      </c>
      <c r="B135" s="45" t="s">
        <v>3</v>
      </c>
      <c r="L135" s="45" t="s">
        <v>620</v>
      </c>
      <c r="M135" s="2">
        <v>-0.15</v>
      </c>
      <c r="N135" s="45" t="s">
        <v>677</v>
      </c>
      <c r="O135" s="159">
        <v>-0.05</v>
      </c>
      <c r="P135" s="45" t="s">
        <v>655</v>
      </c>
      <c r="S135" s="111" t="s">
        <v>737</v>
      </c>
      <c r="T135" s="111"/>
      <c r="U135" s="159"/>
      <c r="W135" s="159"/>
    </row>
    <row r="136" spans="1:23" x14ac:dyDescent="0.2">
      <c r="A136" s="329" t="s">
        <v>92</v>
      </c>
      <c r="B136" s="45" t="s">
        <v>3</v>
      </c>
      <c r="L136" s="45" t="s">
        <v>622</v>
      </c>
      <c r="M136" s="434">
        <v>-0.05</v>
      </c>
      <c r="N136" s="45" t="s">
        <v>645</v>
      </c>
      <c r="S136" s="111" t="s">
        <v>738</v>
      </c>
      <c r="T136" s="111"/>
      <c r="U136" s="160"/>
    </row>
    <row r="137" spans="1:23" x14ac:dyDescent="0.2">
      <c r="A137" s="329" t="s">
        <v>93</v>
      </c>
      <c r="B137" s="45" t="s">
        <v>3</v>
      </c>
      <c r="L137" s="45" t="s">
        <v>623</v>
      </c>
      <c r="M137" s="2">
        <v>-0.25</v>
      </c>
      <c r="N137" s="45" t="s">
        <v>669</v>
      </c>
      <c r="S137" s="111" t="s">
        <v>739</v>
      </c>
      <c r="T137" s="111"/>
      <c r="U137" s="159"/>
    </row>
    <row r="138" spans="1:23" x14ac:dyDescent="0.2">
      <c r="A138" s="329" t="s">
        <v>94</v>
      </c>
      <c r="B138" s="45" t="s">
        <v>3</v>
      </c>
      <c r="M138"/>
      <c r="S138" s="111"/>
      <c r="T138" s="111"/>
    </row>
    <row r="139" spans="1:23" x14ac:dyDescent="0.2">
      <c r="A139" s="329" t="s">
        <v>95</v>
      </c>
      <c r="B139" s="45" t="s">
        <v>3</v>
      </c>
      <c r="L139" s="45" t="s">
        <v>624</v>
      </c>
      <c r="M139" s="29">
        <v>7.4999999999999997E-2</v>
      </c>
      <c r="N139" s="45" t="s">
        <v>666</v>
      </c>
      <c r="S139" s="111" t="s">
        <v>730</v>
      </c>
      <c r="T139" s="111"/>
      <c r="U139" s="160"/>
    </row>
    <row r="140" spans="1:23" x14ac:dyDescent="0.2">
      <c r="A140" s="329" t="s">
        <v>96</v>
      </c>
      <c r="B140" s="45" t="s">
        <v>7</v>
      </c>
      <c r="L140" s="45" t="s">
        <v>626</v>
      </c>
      <c r="M140" s="434">
        <v>-7.4999999999999997E-2</v>
      </c>
      <c r="N140" s="45" t="s">
        <v>663</v>
      </c>
      <c r="S140" s="111" t="s">
        <v>740</v>
      </c>
      <c r="T140" s="111"/>
      <c r="U140" s="159"/>
    </row>
    <row r="141" spans="1:23" x14ac:dyDescent="0.2">
      <c r="A141" s="329" t="s">
        <v>97</v>
      </c>
      <c r="B141" s="45" t="s">
        <v>3</v>
      </c>
      <c r="M141"/>
    </row>
    <row r="142" spans="1:23" x14ac:dyDescent="0.2">
      <c r="A142" s="329" t="s">
        <v>29</v>
      </c>
      <c r="B142" s="45" t="s">
        <v>3</v>
      </c>
      <c r="L142" s="45" t="s">
        <v>627</v>
      </c>
      <c r="M142" s="2">
        <v>-0.05</v>
      </c>
      <c r="N142" s="45" t="s">
        <v>664</v>
      </c>
      <c r="S142" s="45" t="s">
        <v>741</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1124</v>
      </c>
      <c r="B152" s="45" t="s">
        <v>7</v>
      </c>
    </row>
    <row r="153" spans="1:13" x14ac:dyDescent="0.2">
      <c r="A153" s="329" t="s">
        <v>501</v>
      </c>
      <c r="B153" s="45" t="s">
        <v>12</v>
      </c>
    </row>
    <row r="155" spans="1:13" x14ac:dyDescent="0.2">
      <c r="A155" s="329" t="s">
        <v>1055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1056</v>
      </c>
    </row>
    <row r="162" spans="1:2" x14ac:dyDescent="0.2">
      <c r="A162" s="329" t="s">
        <v>280</v>
      </c>
      <c r="B162" s="159">
        <v>0.75</v>
      </c>
    </row>
    <row r="164" spans="1:2" x14ac:dyDescent="0.2">
      <c r="A164" s="328" t="s">
        <v>1132</v>
      </c>
    </row>
    <row r="165" spans="1:2" x14ac:dyDescent="0.2">
      <c r="A165" s="329" t="s">
        <v>455</v>
      </c>
      <c r="B165" s="45">
        <v>5</v>
      </c>
    </row>
    <row r="167" spans="1:2" x14ac:dyDescent="0.2">
      <c r="A167" s="328" t="s">
        <v>1133</v>
      </c>
      <c r="B167" s="159">
        <v>0.2</v>
      </c>
    </row>
    <row r="168" spans="1:2" x14ac:dyDescent="0.2">
      <c r="A168" s="329" t="s">
        <v>1134</v>
      </c>
      <c r="B168" s="45">
        <f>alch_plat*fact_xtra_prod</f>
        <v>9</v>
      </c>
    </row>
    <row r="169" spans="1:2" x14ac:dyDescent="0.2">
      <c r="A169" s="329" t="s">
        <v>1135</v>
      </c>
      <c r="B169" s="45">
        <f>ly_lumber*fact_xtra_prod</f>
        <v>10</v>
      </c>
    </row>
    <row r="170" spans="1:2" x14ac:dyDescent="0.2">
      <c r="A170" s="329" t="s">
        <v>1136</v>
      </c>
      <c r="B170" s="45">
        <f>om_ore*fact_xtra_prod</f>
        <v>12</v>
      </c>
    </row>
    <row r="171" spans="1:2" x14ac:dyDescent="0.2">
      <c r="A171" s="329" t="s">
        <v>1139</v>
      </c>
      <c r="B171" s="45">
        <f>dm_gems*fact_xtra_prod</f>
        <v>3</v>
      </c>
    </row>
    <row r="172" spans="1:2" x14ac:dyDescent="0.2">
      <c r="A172" s="329" t="s">
        <v>1140</v>
      </c>
      <c r="B172" s="45">
        <f>tower_mana*fact_xtra_prod</f>
        <v>5</v>
      </c>
    </row>
    <row r="173" spans="1:2" x14ac:dyDescent="0.2">
      <c r="A173" s="329" t="s">
        <v>1137</v>
      </c>
      <c r="B173" s="45">
        <f>farm_food*fact_xtra_prod</f>
        <v>16</v>
      </c>
    </row>
    <row r="174" spans="1:2" x14ac:dyDescent="0.2">
      <c r="A174" s="329" t="s">
        <v>1138</v>
      </c>
      <c r="B174" s="45">
        <f>dock_boats_hr*fact_xtra_prod</f>
        <v>1.0000000000000002E-2</v>
      </c>
    </row>
  </sheetData>
  <phoneticPr fontId="0" type="noConversion"/>
  <conditionalFormatting sqref="J25:L25">
    <cfRule type="expression" dxfId="37" priority="1" stopIfTrue="1">
      <formula>$A$1275&lt;0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B139"/>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8" s="347" customFormat="1" ht="19.5" customHeight="1" x14ac:dyDescent="0.2">
      <c r="A1" s="347" t="s">
        <v>284</v>
      </c>
      <c r="E1" s="348"/>
      <c r="F1" s="348"/>
      <c r="G1" s="348"/>
      <c r="X1" s="349"/>
    </row>
    <row r="2" spans="1:28" ht="19.5" customHeight="1" x14ac:dyDescent="0.2">
      <c r="A2" s="298"/>
      <c r="X2" s="350"/>
    </row>
    <row r="3" spans="1:28" s="347" customFormat="1" ht="19.5" customHeight="1" x14ac:dyDescent="0.2">
      <c r="A3" s="347" t="s">
        <v>36</v>
      </c>
      <c r="D3" s="347" t="s">
        <v>38</v>
      </c>
      <c r="E3" s="348"/>
      <c r="F3" s="348"/>
      <c r="G3" s="348"/>
      <c r="J3" s="347" t="s">
        <v>37</v>
      </c>
      <c r="X3" s="349"/>
    </row>
    <row r="4" spans="1:28" ht="87" customHeight="1" x14ac:dyDescent="0.2">
      <c r="A4" s="347" t="s">
        <v>28</v>
      </c>
      <c r="B4" s="347" t="s">
        <v>35</v>
      </c>
      <c r="C4" s="347" t="s">
        <v>764</v>
      </c>
      <c r="D4" s="347" t="s">
        <v>765</v>
      </c>
      <c r="E4" s="348" t="s">
        <v>766</v>
      </c>
      <c r="F4" s="348" t="s">
        <v>767</v>
      </c>
      <c r="G4" s="348" t="s">
        <v>768</v>
      </c>
      <c r="H4" s="351" t="s">
        <v>769</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489</v>
      </c>
      <c r="Y4" s="436" t="s">
        <v>490</v>
      </c>
      <c r="Z4" s="436" t="s">
        <v>527</v>
      </c>
      <c r="AA4" s="436" t="s">
        <v>1076</v>
      </c>
      <c r="AB4" s="436" t="s">
        <v>1125</v>
      </c>
    </row>
    <row r="5" spans="1:28"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8"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8"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8" s="361" customFormat="1" ht="19.5" customHeight="1" x14ac:dyDescent="0.2">
      <c r="A8" s="298" t="s">
        <v>89</v>
      </c>
      <c r="B8" s="352" t="s">
        <v>98</v>
      </c>
      <c r="C8" s="298" t="s">
        <v>245</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8" s="358" customFormat="1" ht="19.5" customHeight="1" x14ac:dyDescent="0.2">
      <c r="A9" s="358" t="s">
        <v>90</v>
      </c>
      <c r="B9" s="366" t="s">
        <v>30</v>
      </c>
      <c r="C9" s="358" t="s">
        <v>245</v>
      </c>
      <c r="D9" s="367" t="s">
        <v>1082</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8"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8" ht="19.5" customHeight="1" x14ac:dyDescent="0.2">
      <c r="A11" s="298" t="s">
        <v>90</v>
      </c>
      <c r="B11" s="352" t="s">
        <v>30</v>
      </c>
      <c r="C11" s="298" t="s">
        <v>245</v>
      </c>
      <c r="D11" s="353" t="s">
        <v>118</v>
      </c>
      <c r="E11" s="96">
        <v>2</v>
      </c>
      <c r="F11" s="96">
        <v>5</v>
      </c>
      <c r="G11" s="96">
        <v>980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8" ht="19.5" customHeight="1" x14ac:dyDescent="0.2">
      <c r="A12" s="298" t="s">
        <v>90</v>
      </c>
      <c r="B12" s="352" t="s">
        <v>30</v>
      </c>
      <c r="C12" s="298" t="s">
        <v>245</v>
      </c>
      <c r="D12" s="353" t="s">
        <v>1083</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8"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8"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8"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8"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1120</v>
      </c>
      <c r="E29" s="368">
        <v>3</v>
      </c>
      <c r="F29" s="368"/>
      <c r="G29" s="368">
        <v>285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246</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1077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1114</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1115</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1116</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1078</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1079</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1080</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1117</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1118</v>
      </c>
      <c r="E63" s="96">
        <v>3</v>
      </c>
      <c r="F63" s="96">
        <v>3</v>
      </c>
      <c r="G63" s="96">
        <v>1375</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1119</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385</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8" ht="19.5" customHeight="1" x14ac:dyDescent="0.2">
      <c r="A81" s="298" t="s">
        <v>1124</v>
      </c>
      <c r="B81" s="352" t="s">
        <v>98</v>
      </c>
      <c r="C81" s="373" t="s">
        <v>58</v>
      </c>
      <c r="D81" s="298" t="s">
        <v>1126</v>
      </c>
      <c r="E81" s="96">
        <v>3</v>
      </c>
      <c r="F81" s="96">
        <v>0</v>
      </c>
      <c r="G81" s="96">
        <v>300</v>
      </c>
      <c r="H81" s="298">
        <v>50</v>
      </c>
      <c r="I81" s="352">
        <v>5</v>
      </c>
      <c r="J81" s="354">
        <v>-0.05</v>
      </c>
      <c r="K81" s="355"/>
      <c r="L81" s="355"/>
      <c r="M81" s="355"/>
      <c r="N81" s="355"/>
      <c r="O81" s="355"/>
      <c r="P81" s="355"/>
      <c r="Q81" s="355"/>
      <c r="R81" s="355"/>
      <c r="S81" s="355"/>
      <c r="T81" s="355">
        <v>0.05</v>
      </c>
      <c r="U81" s="355">
        <v>0.1</v>
      </c>
      <c r="V81" s="355">
        <v>0.1</v>
      </c>
      <c r="W81" s="96"/>
      <c r="X81" s="356"/>
      <c r="Y81" s="96"/>
      <c r="Z81" s="357"/>
      <c r="AA81" s="357"/>
      <c r="AB81" s="379">
        <v>-0.5</v>
      </c>
    </row>
    <row r="82" spans="1:28" ht="19.5" customHeight="1" x14ac:dyDescent="0.2">
      <c r="A82" s="298" t="s">
        <v>1124</v>
      </c>
      <c r="B82" s="352" t="s">
        <v>98</v>
      </c>
      <c r="C82" s="373" t="s">
        <v>58</v>
      </c>
      <c r="D82" s="298" t="s">
        <v>1143</v>
      </c>
      <c r="E82" s="96">
        <v>0</v>
      </c>
      <c r="F82" s="96">
        <v>4</v>
      </c>
      <c r="G82" s="96">
        <v>360</v>
      </c>
      <c r="H82" s="298">
        <v>30</v>
      </c>
      <c r="I82" s="352">
        <v>5</v>
      </c>
      <c r="J82" s="354"/>
      <c r="K82" s="355"/>
      <c r="L82" s="355"/>
      <c r="M82" s="355"/>
      <c r="N82" s="355"/>
      <c r="O82" s="355"/>
      <c r="P82" s="355"/>
      <c r="Q82" s="355"/>
      <c r="R82" s="355"/>
      <c r="S82" s="355"/>
      <c r="T82" s="355"/>
      <c r="U82" s="355"/>
      <c r="V82" s="355"/>
      <c r="W82" s="96"/>
      <c r="X82" s="356"/>
      <c r="Y82" s="96"/>
      <c r="Z82" s="357"/>
      <c r="AA82" s="357"/>
    </row>
    <row r="83" spans="1:28" ht="19.5" customHeight="1" x14ac:dyDescent="0.2">
      <c r="A83" s="298" t="s">
        <v>1124</v>
      </c>
      <c r="B83" s="352" t="s">
        <v>98</v>
      </c>
      <c r="C83" s="373" t="s">
        <v>58</v>
      </c>
      <c r="D83" s="298" t="s">
        <v>1127</v>
      </c>
      <c r="E83" s="96">
        <v>0</v>
      </c>
      <c r="F83" s="96">
        <v>7</v>
      </c>
      <c r="G83" s="96">
        <v>725</v>
      </c>
      <c r="H83" s="298">
        <v>500</v>
      </c>
      <c r="I83" s="352">
        <v>11</v>
      </c>
      <c r="J83" s="354"/>
      <c r="K83" s="355"/>
      <c r="L83" s="355"/>
      <c r="M83" s="355"/>
      <c r="N83" s="355"/>
      <c r="O83" s="355"/>
      <c r="P83" s="355"/>
      <c r="Q83" s="355"/>
      <c r="R83" s="355"/>
      <c r="S83" s="355"/>
      <c r="T83" s="355"/>
      <c r="U83" s="355"/>
      <c r="V83" s="355"/>
      <c r="W83" s="96"/>
      <c r="X83" s="356"/>
      <c r="Y83" s="96"/>
      <c r="Z83" s="357"/>
      <c r="AA83" s="357"/>
    </row>
    <row r="84" spans="1:28" ht="19.5" customHeight="1" x14ac:dyDescent="0.2">
      <c r="A84" s="298" t="s">
        <v>1124</v>
      </c>
      <c r="B84" s="352" t="s">
        <v>98</v>
      </c>
      <c r="C84" s="373" t="s">
        <v>58</v>
      </c>
      <c r="D84" s="298" t="s">
        <v>1128</v>
      </c>
      <c r="E84" s="96">
        <v>6</v>
      </c>
      <c r="F84" s="96">
        <v>4</v>
      </c>
      <c r="G84" s="96">
        <v>800</v>
      </c>
      <c r="H84" s="298">
        <v>400</v>
      </c>
      <c r="I84" s="352">
        <v>12.600000000000001</v>
      </c>
      <c r="J84" s="354"/>
      <c r="K84" s="355"/>
      <c r="L84" s="355"/>
      <c r="M84" s="355"/>
      <c r="N84" s="355"/>
      <c r="O84" s="355"/>
      <c r="P84" s="355"/>
      <c r="Q84" s="355"/>
      <c r="R84" s="355"/>
      <c r="S84" s="355"/>
      <c r="T84" s="355"/>
      <c r="U84" s="355"/>
      <c r="V84" s="355"/>
      <c r="W84" s="96"/>
      <c r="X84" s="356"/>
      <c r="Y84" s="96"/>
      <c r="Z84" s="357"/>
      <c r="AA84" s="357"/>
    </row>
    <row r="85" spans="1:28" ht="19.5" customHeight="1" x14ac:dyDescent="0.2">
      <c r="A85" s="358" t="s">
        <v>501</v>
      </c>
      <c r="B85" s="366" t="s">
        <v>30</v>
      </c>
      <c r="C85" s="372" t="s">
        <v>60</v>
      </c>
      <c r="D85" s="358" t="s">
        <v>423</v>
      </c>
      <c r="E85" s="368">
        <v>3</v>
      </c>
      <c r="F85" s="368"/>
      <c r="G85" s="368">
        <v>300</v>
      </c>
      <c r="H85" s="358">
        <v>0</v>
      </c>
      <c r="I85" s="366">
        <v>5</v>
      </c>
      <c r="J85" s="369"/>
      <c r="K85" s="370"/>
      <c r="L85" s="370"/>
      <c r="M85" s="370"/>
      <c r="N85" s="370"/>
      <c r="O85" s="370">
        <v>0.1</v>
      </c>
      <c r="P85" s="370"/>
      <c r="Q85" s="370"/>
      <c r="R85" s="370">
        <v>-0.2</v>
      </c>
      <c r="S85" s="370"/>
      <c r="T85" s="370"/>
      <c r="U85" s="370"/>
      <c r="V85" s="370"/>
      <c r="W85" s="96"/>
      <c r="X85" s="356"/>
      <c r="Y85" s="96"/>
      <c r="Z85" s="355">
        <v>0.15</v>
      </c>
      <c r="AA85" s="375"/>
    </row>
    <row r="86" spans="1:28" ht="19.5" customHeight="1" x14ac:dyDescent="0.2">
      <c r="A86" s="298" t="s">
        <v>501</v>
      </c>
      <c r="B86" s="352" t="s">
        <v>30</v>
      </c>
      <c r="C86" s="373" t="s">
        <v>60</v>
      </c>
      <c r="D86" s="298" t="s">
        <v>424</v>
      </c>
      <c r="F86" s="96">
        <v>3</v>
      </c>
      <c r="G86" s="96">
        <v>325</v>
      </c>
      <c r="H86" s="298">
        <v>8</v>
      </c>
      <c r="I86" s="352">
        <v>5</v>
      </c>
      <c r="J86" s="354"/>
      <c r="K86" s="355"/>
      <c r="L86" s="355"/>
      <c r="M86" s="355"/>
      <c r="N86" s="355"/>
      <c r="O86" s="355"/>
      <c r="P86" s="355"/>
      <c r="Q86" s="355"/>
      <c r="R86" s="355"/>
      <c r="S86" s="355"/>
      <c r="T86" s="355"/>
      <c r="U86" s="355"/>
      <c r="V86" s="355"/>
      <c r="W86" s="96"/>
      <c r="X86" s="356"/>
      <c r="Y86" s="96"/>
      <c r="Z86" s="96"/>
      <c r="AA86" s="357"/>
    </row>
    <row r="87" spans="1:28" ht="19.5" customHeight="1" x14ac:dyDescent="0.2">
      <c r="A87" s="298" t="s">
        <v>501</v>
      </c>
      <c r="B87" s="352" t="s">
        <v>30</v>
      </c>
      <c r="C87" s="373" t="s">
        <v>60</v>
      </c>
      <c r="D87" s="298" t="s">
        <v>425</v>
      </c>
      <c r="E87" s="96">
        <v>0</v>
      </c>
      <c r="F87" s="96">
        <v>2</v>
      </c>
      <c r="G87" s="96">
        <v>975</v>
      </c>
      <c r="H87" s="298">
        <v>25</v>
      </c>
      <c r="I87" s="352">
        <f>1.8 * MIN(6, MAX(E87,F87)) + 0.45 * MIN(6, MIN(E87,F87)) + IF(E87&gt;6, (E87-6)*0.2) + IF(F87&gt;6, (F87-6)*0.2)</f>
        <v>3.6</v>
      </c>
      <c r="J87" s="354"/>
      <c r="K87" s="355"/>
      <c r="L87" s="355"/>
      <c r="M87" s="355"/>
      <c r="N87" s="355"/>
      <c r="O87" s="355"/>
      <c r="P87" s="355"/>
      <c r="Q87" s="355"/>
      <c r="R87" s="355"/>
      <c r="S87" s="355"/>
      <c r="T87" s="355"/>
      <c r="U87" s="355"/>
      <c r="V87" s="355"/>
      <c r="W87" s="96"/>
      <c r="X87" s="356"/>
      <c r="Y87" s="96"/>
      <c r="Z87" s="96"/>
      <c r="AA87" s="357"/>
    </row>
    <row r="88" spans="1:28" ht="19.5" customHeight="1" x14ac:dyDescent="0.2">
      <c r="A88" s="298" t="s">
        <v>501</v>
      </c>
      <c r="B88" s="352" t="s">
        <v>30</v>
      </c>
      <c r="C88" s="373" t="s">
        <v>60</v>
      </c>
      <c r="D88" s="298" t="s">
        <v>426</v>
      </c>
      <c r="E88" s="96">
        <v>5</v>
      </c>
      <c r="F88" s="96">
        <v>2</v>
      </c>
      <c r="G88" s="96">
        <v>970</v>
      </c>
      <c r="H88" s="298">
        <v>0</v>
      </c>
      <c r="I88" s="352">
        <f>1.8 * MIN(6, MAX(E88,F88)) + 0.45 * MIN(6, MIN(E88,F88)) + IF(E88&gt;6, (E88-6)*0.2) + IF(F88&gt;6, (F88-6)*0.2)</f>
        <v>9.9</v>
      </c>
      <c r="J88" s="354"/>
      <c r="K88" s="355"/>
      <c r="L88" s="355"/>
      <c r="M88" s="355"/>
      <c r="N88" s="355"/>
      <c r="O88" s="355"/>
      <c r="P88" s="355"/>
      <c r="Q88" s="355"/>
      <c r="R88" s="355"/>
      <c r="S88" s="355"/>
      <c r="T88" s="355"/>
      <c r="U88" s="355"/>
      <c r="V88" s="355"/>
      <c r="W88" s="96"/>
      <c r="X88" s="356"/>
      <c r="Y88" s="96"/>
      <c r="Z88" s="96"/>
      <c r="AA88" s="357"/>
    </row>
    <row r="89" spans="1:28" ht="19.5" customHeight="1" x14ac:dyDescent="0.2">
      <c r="A89" s="376" t="s">
        <v>770</v>
      </c>
      <c r="B89" s="352" t="s">
        <v>770</v>
      </c>
      <c r="C89" s="373" t="s">
        <v>770</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8" ht="19.5" customHeight="1" x14ac:dyDescent="0.2">
      <c r="A90" s="376" t="s">
        <v>770</v>
      </c>
      <c r="B90" s="352" t="s">
        <v>770</v>
      </c>
      <c r="C90" s="373" t="s">
        <v>770</v>
      </c>
      <c r="D90" s="63" t="s">
        <v>1099</v>
      </c>
      <c r="G90" s="96">
        <v>1000</v>
      </c>
      <c r="H90" s="96" t="s">
        <v>1100</v>
      </c>
      <c r="I90" s="352"/>
      <c r="J90" s="354"/>
      <c r="K90" s="355"/>
      <c r="L90" s="355"/>
      <c r="M90" s="355"/>
      <c r="N90" s="355"/>
      <c r="O90" s="355"/>
      <c r="P90" s="355"/>
      <c r="Q90" s="355"/>
      <c r="R90" s="355"/>
      <c r="S90" s="355"/>
      <c r="T90" s="355"/>
      <c r="U90" s="355"/>
      <c r="V90" s="355"/>
      <c r="W90" s="96"/>
      <c r="X90" s="377"/>
      <c r="Y90" s="96"/>
      <c r="Z90" s="357"/>
      <c r="AA90" s="357"/>
    </row>
    <row r="91" spans="1:28" ht="19.5" customHeight="1" x14ac:dyDescent="0.2">
      <c r="A91" s="376" t="s">
        <v>770</v>
      </c>
      <c r="B91" s="352" t="s">
        <v>770</v>
      </c>
      <c r="C91" s="373" t="s">
        <v>770</v>
      </c>
      <c r="D91" s="63" t="s">
        <v>183</v>
      </c>
      <c r="G91" s="96">
        <v>500</v>
      </c>
      <c r="I91" s="352"/>
      <c r="J91" s="354"/>
      <c r="K91" s="355"/>
      <c r="L91" s="355"/>
      <c r="M91" s="355"/>
      <c r="N91" s="355"/>
      <c r="O91" s="355"/>
      <c r="P91" s="355"/>
      <c r="Q91" s="355"/>
      <c r="R91" s="355"/>
      <c r="S91" s="355"/>
      <c r="T91" s="355"/>
      <c r="U91" s="355"/>
      <c r="V91" s="355"/>
      <c r="W91" s="96"/>
      <c r="X91" s="377"/>
      <c r="Y91" s="96"/>
      <c r="Z91" s="96"/>
      <c r="AA91" s="357"/>
    </row>
    <row r="92" spans="1:28" ht="19.5" customHeight="1" x14ac:dyDescent="0.2">
      <c r="A92" s="376" t="s">
        <v>770</v>
      </c>
      <c r="B92" s="352" t="s">
        <v>770</v>
      </c>
      <c r="C92" s="373" t="s">
        <v>770</v>
      </c>
      <c r="D92" s="63" t="s">
        <v>184</v>
      </c>
      <c r="G92" s="96">
        <v>1000</v>
      </c>
      <c r="H92" s="96" t="s">
        <v>250</v>
      </c>
      <c r="I92" s="352"/>
      <c r="J92" s="354"/>
      <c r="K92" s="355"/>
      <c r="L92" s="355"/>
      <c r="M92" s="355"/>
      <c r="N92" s="355"/>
      <c r="O92" s="355"/>
      <c r="P92" s="355"/>
      <c r="Q92" s="355"/>
      <c r="R92" s="355"/>
      <c r="S92" s="355"/>
      <c r="T92" s="355"/>
      <c r="U92" s="355"/>
      <c r="V92" s="355"/>
      <c r="W92" s="96"/>
      <c r="X92" s="377"/>
      <c r="Y92" s="96"/>
      <c r="Z92" s="96"/>
      <c r="AA92" s="357"/>
    </row>
    <row r="93" spans="1:28" ht="19.5" customHeight="1" x14ac:dyDescent="0.2">
      <c r="C93" s="378"/>
      <c r="J93" s="379"/>
      <c r="K93" s="379"/>
      <c r="L93" s="379"/>
      <c r="M93" s="379"/>
      <c r="N93" s="379"/>
      <c r="O93" s="379"/>
      <c r="P93" s="379"/>
      <c r="Q93" s="379"/>
      <c r="R93" s="379"/>
      <c r="S93" s="379"/>
      <c r="T93" s="379"/>
      <c r="U93" s="379"/>
      <c r="V93" s="379"/>
    </row>
    <row r="94" spans="1:28" ht="19.5" customHeight="1" x14ac:dyDescent="0.2">
      <c r="A94" s="376" t="s">
        <v>89</v>
      </c>
      <c r="B94" s="298">
        <v>5</v>
      </c>
      <c r="C94" s="378"/>
      <c r="D94" s="298" t="s">
        <v>362</v>
      </c>
      <c r="J94" s="379"/>
      <c r="K94" s="379"/>
      <c r="L94" s="379"/>
      <c r="M94" s="379"/>
      <c r="N94" s="379"/>
      <c r="O94" s="379"/>
      <c r="P94" s="379"/>
      <c r="Q94" s="379"/>
      <c r="R94" s="379"/>
      <c r="S94" s="379"/>
      <c r="T94" s="379"/>
      <c r="U94" s="379"/>
      <c r="V94" s="379"/>
    </row>
    <row r="95" spans="1:28"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8"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331</v>
      </c>
      <c r="B110" s="298">
        <v>69</v>
      </c>
      <c r="J110" s="379"/>
      <c r="K110" s="379"/>
      <c r="L110" s="379"/>
      <c r="M110" s="379"/>
      <c r="N110" s="379"/>
      <c r="O110" s="379"/>
      <c r="P110" s="379"/>
      <c r="Q110" s="379"/>
      <c r="R110" s="379"/>
      <c r="S110" s="379"/>
      <c r="T110" s="379"/>
      <c r="U110" s="379"/>
      <c r="V110" s="379"/>
    </row>
    <row r="111" spans="1:22" ht="19.5" customHeight="1" x14ac:dyDescent="0.2">
      <c r="A111" s="376" t="s">
        <v>345</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1124</v>
      </c>
      <c r="B113" s="298">
        <v>81</v>
      </c>
      <c r="J113" s="379"/>
      <c r="K113" s="379"/>
      <c r="L113" s="379"/>
      <c r="M113" s="379"/>
      <c r="N113" s="379"/>
      <c r="O113" s="379"/>
      <c r="P113" s="379"/>
      <c r="Q113" s="379"/>
      <c r="R113" s="379"/>
      <c r="S113" s="379"/>
      <c r="T113" s="379"/>
      <c r="U113" s="379"/>
      <c r="V113" s="379"/>
    </row>
    <row r="114" spans="1:22" ht="19.5" customHeight="1" x14ac:dyDescent="0.2">
      <c r="A114" s="376" t="s">
        <v>501</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row r="139" spans="10:22" ht="19.5" customHeight="1" x14ac:dyDescent="0.2">
      <c r="J139" s="379"/>
      <c r="K139" s="379"/>
      <c r="L139" s="379"/>
      <c r="M139" s="379"/>
      <c r="N139" s="379"/>
      <c r="O139" s="379"/>
      <c r="P139" s="379"/>
      <c r="Q139" s="379"/>
      <c r="R139" s="379"/>
      <c r="S139" s="379"/>
      <c r="T139" s="379"/>
      <c r="U139" s="379"/>
      <c r="V139"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fact_xtra_prod</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2023-12-19T05:48:35Z</dcterms:modified>
</cp:coreProperties>
</file>